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K40" i="1" l="1"/>
  <c r="K34" i="1" l="1"/>
  <c r="L34" i="1"/>
  <c r="M34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H24" i="1" l="1"/>
  <c r="I24" i="1"/>
  <c r="H15" i="1"/>
  <c r="I15" i="1"/>
  <c r="J15" i="1"/>
  <c r="G24" i="1" l="1"/>
  <c r="F24" i="1"/>
  <c r="E24" i="1"/>
  <c r="C24" i="1"/>
  <c r="D24" i="1"/>
  <c r="B24" i="1"/>
  <c r="C15" i="1"/>
  <c r="D15" i="1"/>
  <c r="E15" i="1"/>
  <c r="F15" i="1"/>
  <c r="G15" i="1"/>
  <c r="B15" i="1"/>
  <c r="J40" i="1" l="1"/>
  <c r="I34" i="1" l="1"/>
  <c r="J34" i="1"/>
  <c r="H34" i="1"/>
  <c r="H40" i="1" l="1"/>
  <c r="I40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5" i="1"/>
  <c r="I35" i="1"/>
  <c r="J35" i="1"/>
  <c r="H30" i="1"/>
  <c r="I30" i="1"/>
  <c r="J30" i="1"/>
  <c r="H27" i="1"/>
  <c r="I27" i="1"/>
  <c r="J27" i="1"/>
  <c r="H26" i="1"/>
  <c r="I26" i="1"/>
  <c r="J26" i="1"/>
  <c r="F34" i="1" l="1"/>
  <c r="G34" i="1"/>
  <c r="E34" i="1"/>
  <c r="E40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G35" i="1" l="1"/>
  <c r="E35" i="1" l="1"/>
  <c r="F35" i="1"/>
  <c r="E30" i="1"/>
  <c r="F30" i="1"/>
  <c r="G30" i="1"/>
  <c r="E27" i="1"/>
  <c r="F27" i="1"/>
  <c r="G27" i="1"/>
  <c r="E26" i="1"/>
  <c r="F26" i="1"/>
  <c r="G26" i="1"/>
  <c r="C34" i="1" l="1"/>
  <c r="D34" i="1"/>
  <c r="B34" i="1"/>
  <c r="D40" i="1" l="1"/>
  <c r="C30" i="1" l="1"/>
  <c r="D30" i="1"/>
  <c r="B30" i="1"/>
  <c r="D28" i="1"/>
  <c r="C28" i="1"/>
  <c r="D27" i="1"/>
  <c r="C27" i="1"/>
  <c r="D29" i="1" l="1"/>
  <c r="D17" i="1"/>
  <c r="D8" i="1"/>
  <c r="C29" i="1" l="1"/>
  <c r="C17" i="1"/>
  <c r="C8" i="1"/>
  <c r="B29" i="1" l="1"/>
  <c r="B17" i="1"/>
  <c r="B28" i="1"/>
  <c r="B8" i="1"/>
  <c r="C35" i="1" l="1"/>
  <c r="D35" i="1"/>
  <c r="C26" i="1"/>
  <c r="D26" i="1"/>
  <c r="B35" i="1"/>
  <c r="B27" i="1"/>
  <c r="B26" i="1"/>
  <c r="N37" i="1" l="1"/>
  <c r="N36" i="1" l="1"/>
  <c r="N23" i="1" l="1"/>
  <c r="N14" i="1"/>
  <c r="N6" i="1" l="1"/>
  <c r="N5" i="1"/>
  <c r="N8" i="1" l="1"/>
  <c r="L7" i="1"/>
  <c r="N26" i="1"/>
  <c r="N27" i="1"/>
  <c r="N30" i="1"/>
  <c r="N31" i="1"/>
  <c r="N32" i="1"/>
  <c r="N33" i="1"/>
  <c r="N34" i="1"/>
  <c r="N35" i="1"/>
  <c r="N38" i="1"/>
  <c r="N39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K7" i="1"/>
  <c r="M7" i="1"/>
  <c r="M41" i="1" l="1"/>
  <c r="M42" i="1" s="1"/>
  <c r="L41" i="1"/>
  <c r="L42" i="1" s="1"/>
  <c r="K41" i="1"/>
  <c r="K42" i="1" s="1"/>
  <c r="N29" i="1" l="1"/>
  <c r="H16" i="1" l="1"/>
  <c r="I16" i="1"/>
  <c r="J16" i="1"/>
  <c r="H7" i="1"/>
  <c r="J7" i="1"/>
  <c r="H41" i="1" l="1"/>
  <c r="J41" i="1"/>
  <c r="J42" i="1" s="1"/>
  <c r="I41" i="1"/>
  <c r="I42" i="1" s="1"/>
  <c r="I7" i="1"/>
  <c r="N40" i="1"/>
  <c r="H42" i="1" l="1"/>
  <c r="E16" i="1"/>
  <c r="F16" i="1"/>
  <c r="G16" i="1"/>
  <c r="F7" i="1"/>
  <c r="G7" i="1"/>
  <c r="G41" i="1" l="1"/>
  <c r="G42" i="1" s="1"/>
  <c r="F41" i="1"/>
  <c r="F42" i="1" s="1"/>
  <c r="N28" i="1"/>
  <c r="E41" i="1"/>
  <c r="E7" i="1"/>
  <c r="D16" i="1"/>
  <c r="D41" i="1" s="1"/>
  <c r="D42" i="1" s="1"/>
  <c r="D7" i="1"/>
  <c r="C16" i="1"/>
  <c r="C7" i="1"/>
  <c r="B16" i="1"/>
  <c r="B7" i="1"/>
  <c r="N7" i="1" l="1"/>
  <c r="N16" i="1"/>
  <c r="E42" i="1"/>
  <c r="B44" i="1"/>
  <c r="C6" i="1" s="1"/>
  <c r="C44" i="1" s="1"/>
  <c r="D6" i="1" s="1"/>
  <c r="N44" i="1" l="1"/>
  <c r="D44" i="1"/>
  <c r="E6" i="1" s="1"/>
  <c r="E44" i="1" s="1"/>
  <c r="F6" i="1" s="1"/>
  <c r="F44" i="1" s="1"/>
  <c r="G6" i="1" s="1"/>
  <c r="B41" i="1"/>
  <c r="C41" i="1"/>
  <c r="C42" i="1" s="1"/>
  <c r="G44" i="1" l="1"/>
  <c r="H6" i="1" s="1"/>
  <c r="H44" i="1" s="1"/>
  <c r="I6" i="1" s="1"/>
  <c r="I44" i="1" s="1"/>
  <c r="N41" i="1"/>
  <c r="N43" i="1" s="1"/>
  <c r="B42" i="1"/>
  <c r="B43" i="1" s="1"/>
  <c r="J6" i="1" l="1"/>
  <c r="J44" i="1" s="1"/>
  <c r="N42" i="1"/>
  <c r="C43" i="1"/>
  <c r="D43" i="1" s="1"/>
  <c r="C5" i="1"/>
  <c r="K6" i="1" l="1"/>
  <c r="D5" i="1"/>
  <c r="K44" i="1" l="1"/>
  <c r="L6" i="1" s="1"/>
  <c r="L44" i="1" s="1"/>
  <c r="M6" i="1" s="1"/>
  <c r="M44" i="1" s="1"/>
  <c r="E5" i="1"/>
  <c r="E43" i="1"/>
  <c r="F5" i="1" l="1"/>
  <c r="F43" i="1"/>
  <c r="G43" i="1" s="1"/>
  <c r="G5" i="1" l="1"/>
  <c r="H5" i="1" l="1"/>
  <c r="H43" i="1"/>
  <c r="I5" i="1" l="1"/>
  <c r="I43" i="1"/>
  <c r="J43" i="1" l="1"/>
  <c r="J5" i="1"/>
  <c r="K5" i="1" l="1"/>
  <c r="K43" i="1"/>
  <c r="L43" i="1" l="1"/>
  <c r="L5" i="1"/>
  <c r="M5" i="1" l="1"/>
  <c r="M43" i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<sst xmlns="http://schemas.openxmlformats.org/spreadsheetml/2006/main" count="55" uniqueCount="45">
  <si>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</si>
  <si>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</si>
  <si>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</si>
  <si>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</si>
  <si>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</si>
  <si>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</si>
  <si>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</si>
  <si>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</si>
  <si>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</si>
  <si>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</si>
  <si>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</si>
  <si>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</si>
  <si>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</si>
  <si>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</si>
  <si>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</si>
  <si>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</si>
  <si>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</si>
  <si>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</si>
  <si>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</si>
  <si>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</si>
  <si>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</si>
  <si>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</si>
  <si>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</si>
  <si>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</si>
  <si>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</si>
  <si>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</si>
  <si>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</si>
  <si>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Установка пластиковых окон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</si>
  <si>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</si>
  <si>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</si>
  <si>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</si>
  <si>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</si>
  <si>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</si>
  <si>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</si>
  <si>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</t>
  </si>
  <si>
    <t>Май 2025г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</si>
  <si>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</si>
  <si>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</si>
  <si>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</si>
  <si>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</si>
  <si>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</si>
  <si>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</si>
  <si>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</si>
  <si>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</si>
  <si>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                 ОТЧЕТ по дому Васильева, 69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</si>
</sst>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C31" zoomScale="75" workbookViewId="0">
      <selection activeCell="H47" sqref="H47"/>
    </sheetView>
  </sheetViews>
  <sheetFormatPr defaultRowHeight="13.2" x14ac:dyDescent="0.25"/>
  <cols>
    <col min="1" max="1" width="58.6640625" customWidth="1"/>
    <col min="2" max="2" width="14.109375" customWidth="1"/>
    <col min="3" max="3" width="14.33203125" customWidth="1"/>
    <col min="4" max="4" width="15.5546875" customWidth="1"/>
    <col min="5" max="5" width="15.88671875" customWidth="1"/>
    <col min="6" max="6" width="14.33203125" customWidth="1"/>
    <col min="7" max="7" width="14.6640625" customWidth="1"/>
    <col min="8" max="8" width="14.44140625" customWidth="1"/>
    <col min="9" max="13" width="13.5546875" customWidth="1"/>
    <col min="14" max="14" width="16.5546875" customWidth="1"/>
  </cols>
  <sheetData>
    <row r="1" spans="1:18" ht="20.25" customHeight="1" x14ac:dyDescent="0.35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-490794.96</v>
      </c>
      <c r="C5" s="8">
        <f t="shared" ref="C5:D5" si="0">B43</f>
        <v>-489763.75003</v>
      </c>
      <c r="D5" s="8">
        <f t="shared" si="0"/>
        <v>-489129.59182999999</v>
      </c>
      <c r="E5" s="8">
        <f t="shared" ref="E5" si="1">D43</f>
        <v>-447543.19643000001</v>
      </c>
      <c r="F5" s="8">
        <f t="shared" ref="F5" si="2">E43</f>
        <v>-449847.75993</v>
      </c>
      <c r="G5" s="8">
        <f t="shared" ref="G5" si="3">F43</f>
        <v>-445321.84539000003</v>
      </c>
      <c r="H5" s="8">
        <f t="shared" ref="H5" si="4">G43</f>
        <v>-445258.36141000001</v>
      </c>
      <c r="I5" s="8">
        <f t="shared" ref="I5" si="5">H43</f>
        <v>-516393.68297000002</v>
      </c>
      <c r="J5" s="8">
        <f t="shared" ref="J5" si="6">I43</f>
        <v>-525415.73103000002</v>
      </c>
      <c r="K5" s="8">
        <f t="shared" ref="K5" si="7">J43</f>
        <v>-505387.48496999999</v>
      </c>
      <c r="L5" s="8">
        <f t="shared" ref="L5" si="8">K43</f>
        <v>-477275.12783000001</v>
      </c>
      <c r="M5" s="8">
        <f t="shared" ref="M5" si="9">L43</f>
        <v>-464899.67735000001</v>
      </c>
      <c r="N5" s="8">
        <f>B5</f>
        <v>-490794.96</v>
      </c>
    </row>
    <row r="6" spans="1:18" ht="21" customHeight="1" thickBot="1" x14ac:dyDescent="0.3">
      <c r="A6" s="7" t="s">
        <v>13</v>
      </c>
      <c r="B6" s="8">
        <v>-226963.01</v>
      </c>
      <c r="C6" s="8">
        <f t="shared" ref="C6:M6" si="10">B44</f>
        <v>-233133.7</v>
      </c>
      <c r="D6" s="8">
        <f t="shared" si="10"/>
        <v>-240079.36000000002</v>
      </c>
      <c r="E6" s="8">
        <f t="shared" si="10"/>
        <v>-199712.26000000004</v>
      </c>
      <c r="F6" s="8">
        <f t="shared" si="10"/>
        <v>-197783.53000000006</v>
      </c>
      <c r="G6" s="8">
        <f t="shared" si="10"/>
        <v>-200650.98000000007</v>
      </c>
      <c r="H6" s="8">
        <f t="shared" si="10"/>
        <v>-226760.03000000009</v>
      </c>
      <c r="I6" s="8">
        <f t="shared" si="10"/>
        <v>-229133.69000000012</v>
      </c>
      <c r="J6" s="8">
        <f t="shared" si="10"/>
        <v>-233409.36000000013</v>
      </c>
      <c r="K6" s="8">
        <f t="shared" si="10"/>
        <v>-234138.57000000015</v>
      </c>
      <c r="L6" s="8">
        <f t="shared" si="10"/>
        <v>-227623.76000000018</v>
      </c>
      <c r="M6" s="8">
        <f t="shared" si="10"/>
        <v>-229055.48000000019</v>
      </c>
      <c r="N6" s="8">
        <f>B6</f>
        <v>-226963.01</v>
      </c>
    </row>
    <row r="7" spans="1:18" ht="20.25" customHeight="1" thickBot="1" x14ac:dyDescent="0.3">
      <c r="A7" s="9" t="s">
        <v>12</v>
      </c>
      <c r="B7" s="10">
        <f>SUM(B8:B15)</f>
        <v>57277.41</v>
      </c>
      <c r="C7" s="10">
        <f>SUM(C8:C15)</f>
        <v>57470.850000000006</v>
      </c>
      <c r="D7" s="10">
        <f>SUM(D8:D15)</f>
        <v>57470.850000000006</v>
      </c>
      <c r="E7" s="10">
        <f t="shared" ref="E7:M7" si="11">SUM(E8:E15)</f>
        <v>57470.850000000006</v>
      </c>
      <c r="F7" s="10">
        <f t="shared" si="11"/>
        <v>57277.41</v>
      </c>
      <c r="G7" s="10">
        <f t="shared" si="11"/>
        <v>79990.920000000013</v>
      </c>
      <c r="H7" s="10">
        <f t="shared" si="11"/>
        <v>80048.310000000012</v>
      </c>
      <c r="I7" s="10">
        <f t="shared" si="11"/>
        <v>80281.110000000015</v>
      </c>
      <c r="J7" s="10">
        <f t="shared" si="11"/>
        <v>80068.290000000008</v>
      </c>
      <c r="K7" s="10">
        <f t="shared" si="11"/>
        <v>79868.259999999995</v>
      </c>
      <c r="L7" s="10">
        <f t="shared" si="11"/>
        <v>68091.51999999999</v>
      </c>
      <c r="M7" s="10">
        <f t="shared" si="11"/>
        <v>79868.259999999995</v>
      </c>
      <c r="N7" s="10">
        <f>SUM(B7:M7)</f>
        <v>835184.04000000015</v>
      </c>
    </row>
    <row r="8" spans="1:18" ht="21.75" customHeight="1" thickBot="1" x14ac:dyDescent="0.3">
      <c r="A8" s="4" t="s">
        <v>28</v>
      </c>
      <c r="B8" s="11">
        <f>52092.01+1273.42</f>
        <v>53365.43</v>
      </c>
      <c r="C8" s="11">
        <f>52092.01+1273.42</f>
        <v>53365.43</v>
      </c>
      <c r="D8" s="11">
        <f>52092.01+1273.42</f>
        <v>53365.43</v>
      </c>
      <c r="E8" s="11">
        <f>52092.01+1273.42</f>
        <v>53365.43</v>
      </c>
      <c r="F8" s="11">
        <f>52092.01+1273.42</f>
        <v>53365.43</v>
      </c>
      <c r="G8" s="11">
        <f>74805.52+1273.42</f>
        <v>76078.94</v>
      </c>
      <c r="H8" s="11">
        <f>74805.52+1273.42</f>
        <v>76078.94</v>
      </c>
      <c r="I8" s="11">
        <f>74805.52+1273.42</f>
        <v>76078.94</v>
      </c>
      <c r="J8" s="11">
        <f>74805.52+1273.42</f>
        <v>76078.94</v>
      </c>
      <c r="K8" s="11">
        <f>74805.5+1273.4</f>
        <v>76078.899999999994</v>
      </c>
      <c r="L8" s="11">
        <f>61640.52+1273.4</f>
        <v>62913.919999999998</v>
      </c>
      <c r="M8" s="11">
        <f>74805.5+1273.4</f>
        <v>76078.899999999994</v>
      </c>
      <c r="N8" s="21">
        <f>SUM(B8:M8)</f>
        <v>786214.63000000012</v>
      </c>
    </row>
    <row r="9" spans="1:18" ht="19.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-0.37</v>
      </c>
      <c r="M9" s="11">
        <v>0</v>
      </c>
      <c r="N9" s="21">
        <f t="shared" ref="N9:N15" si="12">SUM(B9:M9)</f>
        <v>-0.37</v>
      </c>
    </row>
    <row r="10" spans="1:18" ht="19.5" customHeight="1" thickBot="1" x14ac:dyDescent="0.3">
      <c r="A10" s="4" t="s">
        <v>18</v>
      </c>
      <c r="B10" s="11">
        <v>191.72</v>
      </c>
      <c r="C10" s="11">
        <v>191.72</v>
      </c>
      <c r="D10" s="11">
        <v>191.72</v>
      </c>
      <c r="E10" s="11">
        <v>191.72</v>
      </c>
      <c r="F10" s="11">
        <v>191.72</v>
      </c>
      <c r="G10" s="11">
        <v>191.72</v>
      </c>
      <c r="H10" s="11">
        <v>249.11</v>
      </c>
      <c r="I10" s="11">
        <v>249.11</v>
      </c>
      <c r="J10" s="11">
        <v>249.11</v>
      </c>
      <c r="K10" s="11">
        <v>249.11</v>
      </c>
      <c r="L10" s="11">
        <v>205.82</v>
      </c>
      <c r="M10" s="11">
        <v>249.11</v>
      </c>
      <c r="N10" s="21">
        <f t="shared" si="12"/>
        <v>2601.6900000000005</v>
      </c>
    </row>
    <row r="11" spans="1:18" ht="21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212.82</v>
      </c>
      <c r="J11" s="11">
        <v>0</v>
      </c>
      <c r="K11" s="11">
        <v>0</v>
      </c>
      <c r="L11" s="11">
        <v>1488.28</v>
      </c>
      <c r="M11" s="11">
        <v>0</v>
      </c>
      <c r="N11" s="21">
        <f t="shared" si="12"/>
        <v>1701.1</v>
      </c>
    </row>
    <row r="12" spans="1:18" ht="21.75" customHeight="1" thickBot="1" x14ac:dyDescent="0.3">
      <c r="A12" s="4" t="s">
        <v>26</v>
      </c>
      <c r="B12" s="11">
        <v>193.46</v>
      </c>
      <c r="C12" s="11">
        <v>386.9</v>
      </c>
      <c r="D12" s="11">
        <v>386.9</v>
      </c>
      <c r="E12" s="11">
        <v>386.9</v>
      </c>
      <c r="F12" s="11">
        <v>193.46</v>
      </c>
      <c r="G12" s="11">
        <v>193.46</v>
      </c>
      <c r="H12" s="11">
        <v>193.46</v>
      </c>
      <c r="I12" s="11">
        <v>213.44</v>
      </c>
      <c r="J12" s="11">
        <v>213.44</v>
      </c>
      <c r="K12" s="11">
        <v>213.45</v>
      </c>
      <c r="L12" s="11">
        <v>157.07</v>
      </c>
      <c r="M12" s="11">
        <v>213.45</v>
      </c>
      <c r="N12" s="21">
        <f t="shared" si="12"/>
        <v>2945.39</v>
      </c>
    </row>
    <row r="13" spans="1:18" ht="21.75" customHeight="1" thickBot="1" x14ac:dyDescent="0.3">
      <c r="A13" s="4" t="s">
        <v>29</v>
      </c>
      <c r="B13" s="11">
        <v>2956.8</v>
      </c>
      <c r="C13" s="11">
        <v>2956.8</v>
      </c>
      <c r="D13" s="11">
        <v>2956.8</v>
      </c>
      <c r="E13" s="11">
        <v>2956.8</v>
      </c>
      <c r="F13" s="11">
        <v>2956.8</v>
      </c>
      <c r="G13" s="11">
        <v>2956.8</v>
      </c>
      <c r="H13" s="11">
        <v>2956.8</v>
      </c>
      <c r="I13" s="11">
        <v>2956.8</v>
      </c>
      <c r="J13" s="11">
        <v>2956.8</v>
      </c>
      <c r="K13" s="11">
        <v>2956.8</v>
      </c>
      <c r="L13" s="11">
        <v>2956.8</v>
      </c>
      <c r="M13" s="11">
        <v>2956.8</v>
      </c>
      <c r="N13" s="21">
        <f t="shared" si="12"/>
        <v>35481.599999999999</v>
      </c>
    </row>
    <row r="14" spans="1:18" ht="21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1">
        <f t="shared" si="12"/>
        <v>0</v>
      </c>
    </row>
    <row r="15" spans="1:18" ht="24.75" customHeight="1" thickBot="1" x14ac:dyDescent="0.3">
      <c r="A15" s="4" t="s">
        <v>15</v>
      </c>
      <c r="B15" s="11">
        <f>870-300</f>
        <v>570</v>
      </c>
      <c r="C15" s="11">
        <f t="shared" ref="C15:J15" si="13">870-300</f>
        <v>570</v>
      </c>
      <c r="D15" s="11">
        <f t="shared" si="13"/>
        <v>570</v>
      </c>
      <c r="E15" s="11">
        <f t="shared" si="13"/>
        <v>570</v>
      </c>
      <c r="F15" s="11">
        <f t="shared" si="13"/>
        <v>570</v>
      </c>
      <c r="G15" s="11">
        <f t="shared" si="13"/>
        <v>570</v>
      </c>
      <c r="H15" s="11">
        <f t="shared" si="13"/>
        <v>570</v>
      </c>
      <c r="I15" s="11">
        <f t="shared" si="13"/>
        <v>570</v>
      </c>
      <c r="J15" s="11">
        <f t="shared" si="13"/>
        <v>570</v>
      </c>
      <c r="K15" s="11">
        <v>370</v>
      </c>
      <c r="L15" s="11">
        <v>370</v>
      </c>
      <c r="M15" s="11">
        <v>370</v>
      </c>
      <c r="N15" s="21">
        <f t="shared" si="12"/>
        <v>6240</v>
      </c>
    </row>
    <row r="16" spans="1:18" ht="20.25" customHeight="1" thickBot="1" x14ac:dyDescent="0.3">
      <c r="A16" s="12" t="s">
        <v>8</v>
      </c>
      <c r="B16" s="13">
        <f>SUM(B17:B24)</f>
        <v>51106.720000000001</v>
      </c>
      <c r="C16" s="13">
        <f>SUM(C17:C24)</f>
        <v>50525.189999999995</v>
      </c>
      <c r="D16" s="13">
        <f>SUM(D17:D24)</f>
        <v>97837.95</v>
      </c>
      <c r="E16" s="13">
        <f t="shared" ref="E16:M16" si="14">SUM(E17:E24)</f>
        <v>59399.58</v>
      </c>
      <c r="F16" s="13">
        <f t="shared" si="14"/>
        <v>54409.96</v>
      </c>
      <c r="G16" s="13">
        <f t="shared" si="14"/>
        <v>53881.869999999995</v>
      </c>
      <c r="H16" s="13">
        <f t="shared" si="14"/>
        <v>77674.649999999994</v>
      </c>
      <c r="I16" s="13">
        <f t="shared" si="14"/>
        <v>76005.439999999988</v>
      </c>
      <c r="J16" s="13">
        <f t="shared" si="14"/>
        <v>79339.08</v>
      </c>
      <c r="K16" s="13">
        <f t="shared" si="14"/>
        <v>86383.069999999992</v>
      </c>
      <c r="L16" s="13">
        <f t="shared" si="14"/>
        <v>66659.8</v>
      </c>
      <c r="M16" s="13">
        <f t="shared" si="14"/>
        <v>77252.35000000002</v>
      </c>
      <c r="N16" s="13">
        <f>SUM(B16:M16)</f>
        <v>830475.66</v>
      </c>
    </row>
    <row r="17" spans="1:15" ht="21" customHeight="1" thickBot="1" x14ac:dyDescent="0.3">
      <c r="A17" s="4" t="s">
        <v>28</v>
      </c>
      <c r="B17" s="11">
        <f>46827.82+1116.19</f>
        <v>47944.01</v>
      </c>
      <c r="C17" s="11">
        <f>46257.29+1174.77</f>
        <v>47432.06</v>
      </c>
      <c r="D17" s="11">
        <f>84311.02+4561.04</f>
        <v>88872.06</v>
      </c>
      <c r="E17" s="11">
        <f>53723.13+1189.14</f>
        <v>54912.27</v>
      </c>
      <c r="F17" s="11">
        <f>50084.25+1123.71</f>
        <v>51207.96</v>
      </c>
      <c r="G17" s="11">
        <f>47895.1+1724.24</f>
        <v>49619.34</v>
      </c>
      <c r="H17" s="11">
        <f>72603.37+1313.13</f>
        <v>73916.5</v>
      </c>
      <c r="I17" s="11">
        <f>71347.5+1162.2</f>
        <v>72509.7</v>
      </c>
      <c r="J17" s="11">
        <f>72830.03+1229.41</f>
        <v>74059.44</v>
      </c>
      <c r="K17" s="11">
        <f>81105.84+1444.58</f>
        <v>82550.42</v>
      </c>
      <c r="L17" s="11">
        <f>61632.5+1267.48</f>
        <v>62899.98</v>
      </c>
      <c r="M17" s="11">
        <f>70550.02+1211.1</f>
        <v>71761.12000000001</v>
      </c>
      <c r="N17" s="11">
        <f>SUM(B17:M17)</f>
        <v>777684.86</v>
      </c>
    </row>
    <row r="18" spans="1:15" ht="23.25" customHeight="1" thickBot="1" x14ac:dyDescent="0.3">
      <c r="A18" s="4" t="s">
        <v>17</v>
      </c>
      <c r="B18" s="11">
        <v>4.8099999999999996</v>
      </c>
      <c r="C18" s="11">
        <v>13.59</v>
      </c>
      <c r="D18" s="11">
        <v>172.22</v>
      </c>
      <c r="E18" s="11">
        <v>19.899999999999999</v>
      </c>
      <c r="F18" s="11">
        <v>0</v>
      </c>
      <c r="G18" s="11">
        <v>7.0000000000000007E-2</v>
      </c>
      <c r="H18" s="11">
        <v>12.8</v>
      </c>
      <c r="I18" s="11">
        <v>0.17</v>
      </c>
      <c r="J18" s="11">
        <v>0</v>
      </c>
      <c r="K18" s="11">
        <v>12.43</v>
      </c>
      <c r="L18" s="11">
        <v>0.03</v>
      </c>
      <c r="M18" s="11">
        <v>0</v>
      </c>
      <c r="N18" s="11">
        <f t="shared" ref="N18:N24" si="15">SUM(B18:M18)</f>
        <v>236.02</v>
      </c>
    </row>
    <row r="19" spans="1:15" ht="22.5" customHeight="1" thickBot="1" x14ac:dyDescent="0.3">
      <c r="A19" s="4" t="s">
        <v>18</v>
      </c>
      <c r="B19" s="11">
        <v>171.71</v>
      </c>
      <c r="C19" s="11">
        <v>174.91</v>
      </c>
      <c r="D19" s="11">
        <v>433.77</v>
      </c>
      <c r="E19" s="11">
        <v>204.9</v>
      </c>
      <c r="F19" s="11">
        <v>184</v>
      </c>
      <c r="G19" s="11">
        <v>175.86</v>
      </c>
      <c r="H19" s="11">
        <v>199.2</v>
      </c>
      <c r="I19" s="11">
        <v>235.86</v>
      </c>
      <c r="J19" s="11">
        <v>239.47</v>
      </c>
      <c r="K19" s="11">
        <v>272.08999999999997</v>
      </c>
      <c r="L19" s="11">
        <v>199.25</v>
      </c>
      <c r="M19" s="11">
        <v>236.36</v>
      </c>
      <c r="N19" s="11">
        <f t="shared" si="15"/>
        <v>2727.38</v>
      </c>
    </row>
    <row r="20" spans="1:15" ht="22.5" customHeight="1" thickBot="1" x14ac:dyDescent="0.3">
      <c r="A20" s="4" t="s">
        <v>19</v>
      </c>
      <c r="B20" s="11">
        <v>69.47</v>
      </c>
      <c r="C20" s="11">
        <v>24.1</v>
      </c>
      <c r="D20" s="11">
        <v>743.24</v>
      </c>
      <c r="E20" s="11">
        <v>120.35</v>
      </c>
      <c r="F20" s="11">
        <v>57.59</v>
      </c>
      <c r="G20" s="11">
        <v>29.54</v>
      </c>
      <c r="H20" s="11">
        <v>20.32</v>
      </c>
      <c r="I20" s="11">
        <v>68.180000000000007</v>
      </c>
      <c r="J20" s="11">
        <v>177.44</v>
      </c>
      <c r="K20" s="11">
        <v>116.24</v>
      </c>
      <c r="L20" s="11">
        <v>133.88999999999999</v>
      </c>
      <c r="M20" s="11">
        <v>1257.8599999999999</v>
      </c>
      <c r="N20" s="11">
        <f t="shared" si="15"/>
        <v>2818.2200000000003</v>
      </c>
    </row>
    <row r="21" spans="1:15" ht="22.5" customHeight="1" thickBot="1" x14ac:dyDescent="0.3">
      <c r="A21" s="4" t="s">
        <v>26</v>
      </c>
      <c r="B21" s="11">
        <v>11.91</v>
      </c>
      <c r="C21" s="11">
        <v>6.08</v>
      </c>
      <c r="D21" s="11">
        <v>245.62</v>
      </c>
      <c r="E21" s="11">
        <v>42.4</v>
      </c>
      <c r="F21" s="11">
        <v>48.47</v>
      </c>
      <c r="G21" s="11">
        <v>140.1</v>
      </c>
      <c r="H21" s="11">
        <v>202.4</v>
      </c>
      <c r="I21" s="11">
        <v>189.01</v>
      </c>
      <c r="J21" s="11">
        <v>203.45</v>
      </c>
      <c r="K21" s="11">
        <v>239.48</v>
      </c>
      <c r="L21" s="11">
        <v>169.36</v>
      </c>
      <c r="M21" s="11">
        <v>198.77</v>
      </c>
      <c r="N21" s="11">
        <f t="shared" si="15"/>
        <v>1697.0500000000002</v>
      </c>
    </row>
    <row r="22" spans="1:15" ht="23.25" customHeight="1" thickBot="1" x14ac:dyDescent="0.3">
      <c r="A22" s="4" t="s">
        <v>29</v>
      </c>
      <c r="B22" s="11">
        <v>2604.81</v>
      </c>
      <c r="C22" s="11">
        <v>2574.4499999999998</v>
      </c>
      <c r="D22" s="11">
        <v>7071.04</v>
      </c>
      <c r="E22" s="11">
        <v>2679.76</v>
      </c>
      <c r="F22" s="11">
        <v>2611.94</v>
      </c>
      <c r="G22" s="11">
        <v>3616.96</v>
      </c>
      <c r="H22" s="11">
        <v>3023.43</v>
      </c>
      <c r="I22" s="11">
        <v>2702.52</v>
      </c>
      <c r="J22" s="11">
        <v>2959.28</v>
      </c>
      <c r="K22" s="11">
        <v>2892.41</v>
      </c>
      <c r="L22" s="11">
        <v>2957.29</v>
      </c>
      <c r="M22" s="11">
        <v>2798.24</v>
      </c>
      <c r="N22" s="11">
        <f t="shared" si="15"/>
        <v>38492.129999999997</v>
      </c>
    </row>
    <row r="23" spans="1:15" ht="23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5"/>
        <v>0</v>
      </c>
    </row>
    <row r="24" spans="1:15" ht="20.25" customHeight="1" thickBot="1" x14ac:dyDescent="0.3">
      <c r="A24" s="4" t="s">
        <v>15</v>
      </c>
      <c r="B24" s="14">
        <f>600-300</f>
        <v>300</v>
      </c>
      <c r="C24" s="14">
        <f t="shared" ref="C24:D24" si="16">600-300</f>
        <v>300</v>
      </c>
      <c r="D24" s="14">
        <f t="shared" si="16"/>
        <v>300</v>
      </c>
      <c r="E24" s="14">
        <f>1720-300</f>
        <v>1420</v>
      </c>
      <c r="F24" s="14">
        <f>600-300</f>
        <v>300</v>
      </c>
      <c r="G24" s="14">
        <f>600-300</f>
        <v>300</v>
      </c>
      <c r="H24" s="14">
        <f t="shared" ref="H24:I24" si="17">600-300</f>
        <v>300</v>
      </c>
      <c r="I24" s="14">
        <f t="shared" si="17"/>
        <v>300</v>
      </c>
      <c r="J24" s="14">
        <v>1700</v>
      </c>
      <c r="K24" s="11">
        <v>300</v>
      </c>
      <c r="L24" s="11">
        <v>300</v>
      </c>
      <c r="M24" s="11">
        <v>1000</v>
      </c>
      <c r="N24" s="11">
        <f t="shared" si="15"/>
        <v>6820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18">2720.2*0.6</f>
        <v>1632.12</v>
      </c>
      <c r="C26" s="11">
        <f t="shared" si="18"/>
        <v>1632.12</v>
      </c>
      <c r="D26" s="11">
        <f t="shared" si="18"/>
        <v>1632.12</v>
      </c>
      <c r="E26" s="11">
        <f t="shared" si="18"/>
        <v>1632.12</v>
      </c>
      <c r="F26" s="11">
        <f t="shared" si="18"/>
        <v>1632.12</v>
      </c>
      <c r="G26" s="11">
        <f t="shared" si="18"/>
        <v>1632.12</v>
      </c>
      <c r="H26" s="11">
        <f t="shared" si="18"/>
        <v>1632.12</v>
      </c>
      <c r="I26" s="11">
        <f t="shared" si="18"/>
        <v>1632.12</v>
      </c>
      <c r="J26" s="11">
        <f t="shared" si="18"/>
        <v>1632.12</v>
      </c>
      <c r="K26" s="11">
        <f t="shared" si="18"/>
        <v>1632.12</v>
      </c>
      <c r="L26" s="11">
        <f t="shared" si="18"/>
        <v>1632.12</v>
      </c>
      <c r="M26" s="11">
        <f t="shared" si="18"/>
        <v>1632.12</v>
      </c>
      <c r="N26" s="11">
        <f t="shared" ref="N26:N40" si="19">SUM(B26:M26)</f>
        <v>19585.439999999995</v>
      </c>
    </row>
    <row r="27" spans="1:15" ht="22.5" customHeight="1" thickBot="1" x14ac:dyDescent="0.3">
      <c r="A27" s="4" t="s">
        <v>2</v>
      </c>
      <c r="B27" s="11">
        <f t="shared" ref="B27" si="20">2720.2*0.17</f>
        <v>462.43400000000003</v>
      </c>
      <c r="C27" s="11">
        <f>2720.2*0.2</f>
        <v>544.04</v>
      </c>
      <c r="D27" s="11">
        <f>2720.2*0.2</f>
        <v>544.04</v>
      </c>
      <c r="E27" s="11">
        <f t="shared" ref="E27:M27" si="21">2720.2*0.2</f>
        <v>544.04</v>
      </c>
      <c r="F27" s="11">
        <f t="shared" si="21"/>
        <v>544.04</v>
      </c>
      <c r="G27" s="11">
        <f t="shared" si="21"/>
        <v>544.04</v>
      </c>
      <c r="H27" s="11">
        <f t="shared" si="21"/>
        <v>544.04</v>
      </c>
      <c r="I27" s="11">
        <f t="shared" si="21"/>
        <v>544.04</v>
      </c>
      <c r="J27" s="11">
        <f t="shared" si="21"/>
        <v>544.04</v>
      </c>
      <c r="K27" s="11">
        <f t="shared" si="21"/>
        <v>544.04</v>
      </c>
      <c r="L27" s="11">
        <f t="shared" si="21"/>
        <v>544.04</v>
      </c>
      <c r="M27" s="11">
        <f t="shared" si="21"/>
        <v>544.04</v>
      </c>
      <c r="N27" s="11">
        <f t="shared" si="19"/>
        <v>6446.8739999999998</v>
      </c>
    </row>
    <row r="28" spans="1:15" ht="21" customHeight="1" thickBot="1" x14ac:dyDescent="0.3">
      <c r="A28" s="4" t="s">
        <v>3</v>
      </c>
      <c r="B28" s="11">
        <f>56707.41*2.3%</f>
        <v>1304.27043</v>
      </c>
      <c r="C28" s="11">
        <f>56900.85*2.6%</f>
        <v>1479.4221</v>
      </c>
      <c r="D28" s="11">
        <f>56900.85*2.6%</f>
        <v>1479.4221</v>
      </c>
      <c r="E28" s="11">
        <f>56900.85*2.6%</f>
        <v>1479.4221</v>
      </c>
      <c r="F28" s="11">
        <f>56707.41*2.6%</f>
        <v>1474.3926600000002</v>
      </c>
      <c r="G28" s="11">
        <f>79420.92*2.6%</f>
        <v>2064.9439200000002</v>
      </c>
      <c r="H28" s="11">
        <f>79478.31*2.6%</f>
        <v>2066.43606</v>
      </c>
      <c r="I28" s="11">
        <f>79711.11*2.6%</f>
        <v>2072.4888600000004</v>
      </c>
      <c r="J28" s="11">
        <f>79498.29*2.6%</f>
        <v>2066.9555399999999</v>
      </c>
      <c r="K28" s="11">
        <f>79498.26*2.6%</f>
        <v>2066.9547600000001</v>
      </c>
      <c r="L28" s="11">
        <f>67721.52*2.6%</f>
        <v>1760.7595200000003</v>
      </c>
      <c r="M28" s="11">
        <f>79498.26*2.6%</f>
        <v>2066.9547600000001</v>
      </c>
      <c r="N28" s="11">
        <f t="shared" si="19"/>
        <v>21382.42281</v>
      </c>
    </row>
    <row r="29" spans="1:15" ht="23.25" customHeight="1" thickBot="1" x14ac:dyDescent="0.3">
      <c r="A29" s="4" t="s">
        <v>4</v>
      </c>
      <c r="B29" s="11">
        <f>50806.72*3%</f>
        <v>1524.2015999999999</v>
      </c>
      <c r="C29" s="11">
        <f>50225.19*3%</f>
        <v>1506.7556999999999</v>
      </c>
      <c r="D29" s="11">
        <f>97537.95*3%</f>
        <v>2926.1385</v>
      </c>
      <c r="E29" s="11">
        <f>57979.58*3%</f>
        <v>1739.3874000000001</v>
      </c>
      <c r="F29" s="11">
        <f>54109.96*3%</f>
        <v>1623.2987999999998</v>
      </c>
      <c r="G29" s="11">
        <f>53581.87*3%</f>
        <v>1607.4561000000001</v>
      </c>
      <c r="H29" s="11">
        <f>77374.65*3%</f>
        <v>2321.2394999999997</v>
      </c>
      <c r="I29" s="11">
        <f>75705.44*3%</f>
        <v>2271.1632</v>
      </c>
      <c r="J29" s="11">
        <f>77639.08*3%</f>
        <v>2329.1723999999999</v>
      </c>
      <c r="K29" s="11">
        <f>86083.07*3%</f>
        <v>2582.4920999999999</v>
      </c>
      <c r="L29" s="11">
        <f>66359.8*3%</f>
        <v>1990.7940000000001</v>
      </c>
      <c r="M29" s="11">
        <f>76252.35*3%</f>
        <v>2287.5705000000003</v>
      </c>
      <c r="N29" s="11">
        <f t="shared" si="19"/>
        <v>24709.669800000003</v>
      </c>
    </row>
    <row r="30" spans="1:15" ht="23.25" customHeight="1" thickBot="1" x14ac:dyDescent="0.3">
      <c r="A30" s="4" t="s">
        <v>9</v>
      </c>
      <c r="B30" s="11">
        <f>2720.2*12</f>
        <v>32642.399999999998</v>
      </c>
      <c r="C30" s="11">
        <f t="shared" ref="C30:M30" si="22">2720.2*12</f>
        <v>32642.399999999998</v>
      </c>
      <c r="D30" s="11">
        <f t="shared" si="22"/>
        <v>32642.399999999998</v>
      </c>
      <c r="E30" s="11">
        <f t="shared" si="22"/>
        <v>32642.399999999998</v>
      </c>
      <c r="F30" s="11">
        <f t="shared" si="22"/>
        <v>32642.399999999998</v>
      </c>
      <c r="G30" s="11">
        <f t="shared" si="22"/>
        <v>32642.399999999998</v>
      </c>
      <c r="H30" s="11">
        <f t="shared" si="22"/>
        <v>32642.399999999998</v>
      </c>
      <c r="I30" s="11">
        <f t="shared" si="22"/>
        <v>32642.399999999998</v>
      </c>
      <c r="J30" s="11">
        <f t="shared" si="22"/>
        <v>32642.399999999998</v>
      </c>
      <c r="K30" s="11">
        <f t="shared" si="22"/>
        <v>32642.399999999998</v>
      </c>
      <c r="L30" s="11">
        <f t="shared" si="22"/>
        <v>32642.399999999998</v>
      </c>
      <c r="M30" s="11">
        <f t="shared" si="22"/>
        <v>32642.399999999998</v>
      </c>
      <c r="N30" s="11">
        <f t="shared" si="19"/>
        <v>391708.80000000005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9"/>
        <v>0</v>
      </c>
    </row>
    <row r="32" spans="1:15" ht="26.25" customHeight="1" thickBot="1" x14ac:dyDescent="0.3">
      <c r="A32" s="4" t="s">
        <v>21</v>
      </c>
      <c r="B32" s="11">
        <v>287.61</v>
      </c>
      <c r="C32" s="11">
        <v>287.61</v>
      </c>
      <c r="D32" s="11">
        <v>287.61</v>
      </c>
      <c r="E32" s="11">
        <v>287.61</v>
      </c>
      <c r="F32" s="11">
        <v>287.61</v>
      </c>
      <c r="G32" s="11">
        <v>287.61</v>
      </c>
      <c r="H32" s="11">
        <v>373.9</v>
      </c>
      <c r="I32" s="11">
        <v>373.9</v>
      </c>
      <c r="J32" s="11">
        <v>373.9</v>
      </c>
      <c r="K32" s="11">
        <v>373.9</v>
      </c>
      <c r="L32" s="11">
        <v>373.9</v>
      </c>
      <c r="M32" s="11">
        <v>373.9</v>
      </c>
      <c r="N32" s="11">
        <f t="shared" si="19"/>
        <v>3969.0600000000009</v>
      </c>
    </row>
    <row r="33" spans="1:14" ht="26.25" customHeight="1" thickBot="1" x14ac:dyDescent="0.3">
      <c r="A33" s="4" t="s">
        <v>22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212.85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9"/>
        <v>212.85</v>
      </c>
    </row>
    <row r="34" spans="1:14" ht="26.25" customHeight="1" thickBot="1" x14ac:dyDescent="0.3">
      <c r="A34" s="4" t="s">
        <v>26</v>
      </c>
      <c r="B34" s="11">
        <f>193.45+193.45</f>
        <v>386.9</v>
      </c>
      <c r="C34" s="11">
        <f t="shared" ref="C34:D34" si="23">193.45+193.45</f>
        <v>386.9</v>
      </c>
      <c r="D34" s="11">
        <f t="shared" si="23"/>
        <v>386.9</v>
      </c>
      <c r="E34" s="11">
        <f>193.45+0</f>
        <v>193.45</v>
      </c>
      <c r="F34" s="11">
        <f t="shared" ref="F34:G34" si="24">193.45+0</f>
        <v>193.45</v>
      </c>
      <c r="G34" s="11">
        <f t="shared" si="24"/>
        <v>193.45</v>
      </c>
      <c r="H34" s="11">
        <f>213.5+0</f>
        <v>213.5</v>
      </c>
      <c r="I34" s="11">
        <f t="shared" ref="I34:M34" si="25">213.5+0</f>
        <v>213.5</v>
      </c>
      <c r="J34" s="11">
        <f t="shared" si="25"/>
        <v>213.5</v>
      </c>
      <c r="K34" s="11">
        <f t="shared" si="25"/>
        <v>213.5</v>
      </c>
      <c r="L34" s="11">
        <f t="shared" si="25"/>
        <v>213.5</v>
      </c>
      <c r="M34" s="11">
        <f t="shared" si="25"/>
        <v>213.5</v>
      </c>
      <c r="N34" s="11">
        <f t="shared" si="19"/>
        <v>3022.05</v>
      </c>
    </row>
    <row r="35" spans="1:14" ht="22.5" customHeight="1" thickBot="1" x14ac:dyDescent="0.3">
      <c r="A35" s="4" t="s">
        <v>6</v>
      </c>
      <c r="B35" s="11">
        <f t="shared" ref="B35:F35" si="26">2720.2*2.87</f>
        <v>7806.9740000000002</v>
      </c>
      <c r="C35" s="11">
        <f t="shared" si="26"/>
        <v>7806.9740000000002</v>
      </c>
      <c r="D35" s="11">
        <f t="shared" si="26"/>
        <v>7806.9740000000002</v>
      </c>
      <c r="E35" s="11">
        <f t="shared" si="26"/>
        <v>7806.9740000000002</v>
      </c>
      <c r="F35" s="11">
        <f t="shared" si="26"/>
        <v>7806.9740000000002</v>
      </c>
      <c r="G35" s="11">
        <f>2720.2*4.13</f>
        <v>11234.425999999999</v>
      </c>
      <c r="H35" s="11">
        <f t="shared" ref="H35:M35" si="27">2720.2*4.13</f>
        <v>11234.425999999999</v>
      </c>
      <c r="I35" s="11">
        <f t="shared" si="27"/>
        <v>11234.425999999999</v>
      </c>
      <c r="J35" s="11">
        <f t="shared" si="27"/>
        <v>11234.425999999999</v>
      </c>
      <c r="K35" s="11">
        <f t="shared" si="27"/>
        <v>11234.425999999999</v>
      </c>
      <c r="L35" s="11">
        <f t="shared" si="27"/>
        <v>11234.425999999999</v>
      </c>
      <c r="M35" s="11">
        <f t="shared" si="27"/>
        <v>11234.425999999999</v>
      </c>
      <c r="N35" s="11">
        <f t="shared" si="19"/>
        <v>117675.85200000001</v>
      </c>
    </row>
    <row r="36" spans="1:14" ht="24.75" customHeight="1" thickBot="1" x14ac:dyDescent="0.3">
      <c r="A36" s="4" t="s">
        <v>29</v>
      </c>
      <c r="B36" s="11">
        <v>2634.6</v>
      </c>
      <c r="C36" s="11">
        <v>2265.81</v>
      </c>
      <c r="D36" s="11">
        <v>2239.4499999999998</v>
      </c>
      <c r="E36" s="11">
        <v>6152.04</v>
      </c>
      <c r="F36" s="11">
        <v>2331.7600000000002</v>
      </c>
      <c r="G36" s="11">
        <v>2272.94</v>
      </c>
      <c r="H36" s="11">
        <v>3146.96</v>
      </c>
      <c r="I36" s="11">
        <v>2630.43</v>
      </c>
      <c r="J36" s="11">
        <v>2351.52</v>
      </c>
      <c r="K36" s="11">
        <v>2574.2800000000002</v>
      </c>
      <c r="L36" s="11">
        <v>2516.41</v>
      </c>
      <c r="M36" s="11">
        <v>2572.29</v>
      </c>
      <c r="N36" s="11">
        <f t="shared" si="19"/>
        <v>33688.49</v>
      </c>
    </row>
    <row r="37" spans="1:14" ht="24.75" customHeight="1" thickBot="1" x14ac:dyDescent="0.3">
      <c r="A37" s="4" t="s">
        <v>30</v>
      </c>
      <c r="B37" s="11">
        <v>394</v>
      </c>
      <c r="C37" s="11">
        <v>339</v>
      </c>
      <c r="D37" s="11">
        <v>335</v>
      </c>
      <c r="E37" s="11">
        <v>919</v>
      </c>
      <c r="F37" s="11">
        <v>348</v>
      </c>
      <c r="G37" s="11">
        <v>339</v>
      </c>
      <c r="H37" s="11">
        <v>470</v>
      </c>
      <c r="I37" s="11">
        <v>393</v>
      </c>
      <c r="J37" s="11">
        <v>351</v>
      </c>
      <c r="K37" s="11">
        <v>385</v>
      </c>
      <c r="L37" s="11">
        <v>376</v>
      </c>
      <c r="M37" s="11">
        <v>385</v>
      </c>
      <c r="N37" s="11">
        <f t="shared" si="19"/>
        <v>5034</v>
      </c>
    </row>
    <row r="38" spans="1:14" ht="24.75" customHeight="1" thickBot="1" x14ac:dyDescent="0.3">
      <c r="A38" s="4" t="s">
        <v>25</v>
      </c>
      <c r="B38" s="11">
        <v>1000</v>
      </c>
      <c r="C38" s="11">
        <v>1000</v>
      </c>
      <c r="D38" s="11">
        <v>1000</v>
      </c>
      <c r="E38" s="11">
        <v>1000</v>
      </c>
      <c r="F38" s="11">
        <v>1000</v>
      </c>
      <c r="G38" s="11">
        <v>1000</v>
      </c>
      <c r="H38" s="11">
        <v>1000</v>
      </c>
      <c r="I38" s="11">
        <v>1000</v>
      </c>
      <c r="J38" s="11">
        <v>1000</v>
      </c>
      <c r="K38" s="11">
        <v>1000</v>
      </c>
      <c r="L38" s="11">
        <v>1000</v>
      </c>
      <c r="M38" s="11">
        <v>1000</v>
      </c>
      <c r="N38" s="11">
        <f t="shared" si="19"/>
        <v>12000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14723.42</v>
      </c>
      <c r="J39" s="11">
        <v>0</v>
      </c>
      <c r="K39" s="11">
        <v>0</v>
      </c>
      <c r="L39" s="11">
        <v>0</v>
      </c>
      <c r="M39" s="11">
        <v>0</v>
      </c>
      <c r="N39" s="11">
        <f t="shared" si="19"/>
        <v>14723.42</v>
      </c>
    </row>
    <row r="40" spans="1:14" ht="24" customHeight="1" thickBot="1" x14ac:dyDescent="0.3">
      <c r="A40" s="4" t="s">
        <v>10</v>
      </c>
      <c r="B40" s="11">
        <v>0</v>
      </c>
      <c r="C40" s="11">
        <v>0</v>
      </c>
      <c r="D40" s="11">
        <f>4971.5</f>
        <v>4971.5</v>
      </c>
      <c r="E40" s="11">
        <f>7307.7</f>
        <v>7307.7</v>
      </c>
      <c r="F40" s="11">
        <v>0</v>
      </c>
      <c r="G40" s="11">
        <v>0</v>
      </c>
      <c r="H40" s="11">
        <f>3037.1+65750+24165</f>
        <v>92952.1</v>
      </c>
      <c r="I40" s="11">
        <f>2011.4+13285.2</f>
        <v>15296.6</v>
      </c>
      <c r="J40" s="11">
        <f>4571.8</f>
        <v>4571.8</v>
      </c>
      <c r="K40" s="11">
        <f>836+2185.6</f>
        <v>3021.6</v>
      </c>
      <c r="L40" s="11">
        <v>0</v>
      </c>
      <c r="M40" s="11">
        <f>2217.8+2993.3+15000</f>
        <v>20211.099999999999</v>
      </c>
      <c r="N40" s="11">
        <f t="shared" si="19"/>
        <v>148332.40000000002</v>
      </c>
    </row>
    <row r="41" spans="1:14" ht="22.5" customHeight="1" thickBot="1" x14ac:dyDescent="0.3">
      <c r="A41" s="9" t="s">
        <v>23</v>
      </c>
      <c r="B41" s="10">
        <f t="shared" ref="B41:M41" si="28">SUM(B26:B40)</f>
        <v>50075.510029999998</v>
      </c>
      <c r="C41" s="10">
        <f t="shared" si="28"/>
        <v>49891.031799999997</v>
      </c>
      <c r="D41" s="10">
        <f t="shared" si="28"/>
        <v>56251.554599999996</v>
      </c>
      <c r="E41" s="10">
        <f t="shared" si="28"/>
        <v>61704.143499999998</v>
      </c>
      <c r="F41" s="10">
        <f t="shared" si="28"/>
        <v>49884.045460000001</v>
      </c>
      <c r="G41" s="10">
        <f t="shared" si="28"/>
        <v>53818.386019999998</v>
      </c>
      <c r="H41" s="10">
        <f t="shared" si="28"/>
        <v>148809.97156000001</v>
      </c>
      <c r="I41" s="10">
        <f t="shared" si="28"/>
        <v>85027.488060000003</v>
      </c>
      <c r="J41" s="10">
        <f t="shared" si="28"/>
        <v>59310.833939999997</v>
      </c>
      <c r="K41" s="10">
        <f t="shared" si="28"/>
        <v>58270.712859999992</v>
      </c>
      <c r="L41" s="10">
        <f t="shared" si="28"/>
        <v>54284.349520000003</v>
      </c>
      <c r="M41" s="10">
        <f t="shared" si="28"/>
        <v>75163.301260000007</v>
      </c>
      <c r="N41" s="10">
        <f>SUM(B41:M41)</f>
        <v>802491.32861000008</v>
      </c>
    </row>
    <row r="42" spans="1:14" ht="19.95" customHeight="1" thickBot="1" x14ac:dyDescent="0.3">
      <c r="A42" s="4" t="s">
        <v>5</v>
      </c>
      <c r="B42" s="18">
        <f t="shared" ref="B42:N42" si="29">B16-B41</f>
        <v>1031.2099700000035</v>
      </c>
      <c r="C42" s="18">
        <f t="shared" si="29"/>
        <v>634.15819999999803</v>
      </c>
      <c r="D42" s="18">
        <f t="shared" si="29"/>
        <v>41586.395400000001</v>
      </c>
      <c r="E42" s="18">
        <f t="shared" si="29"/>
        <v>-2304.5634999999966</v>
      </c>
      <c r="F42" s="18">
        <f t="shared" si="29"/>
        <v>4525.9145399999979</v>
      </c>
      <c r="G42" s="18">
        <f t="shared" si="29"/>
        <v>63.483979999997246</v>
      </c>
      <c r="H42" s="18">
        <f t="shared" si="29"/>
        <v>-71135.321560000011</v>
      </c>
      <c r="I42" s="18">
        <f t="shared" si="29"/>
        <v>-9022.0480600000155</v>
      </c>
      <c r="J42" s="18">
        <f t="shared" si="29"/>
        <v>20028.246060000005</v>
      </c>
      <c r="K42" s="18">
        <f t="shared" si="29"/>
        <v>28112.35714</v>
      </c>
      <c r="L42" s="18">
        <f t="shared" si="29"/>
        <v>12375.45048</v>
      </c>
      <c r="M42" s="18">
        <f t="shared" si="29"/>
        <v>2089.0487400000129</v>
      </c>
      <c r="N42" s="11">
        <f t="shared" si="29"/>
        <v>27984.331389999948</v>
      </c>
    </row>
    <row r="43" spans="1:14" ht="23.25" customHeight="1" thickBot="1" x14ac:dyDescent="0.3">
      <c r="A43" s="4" t="s">
        <v>7</v>
      </c>
      <c r="B43" s="14">
        <f>B5+B42</f>
        <v>-489763.75003</v>
      </c>
      <c r="C43" s="19">
        <f>B43+C42</f>
        <v>-489129.59182999999</v>
      </c>
      <c r="D43" s="19">
        <f>C43+D42</f>
        <v>-447543.19643000001</v>
      </c>
      <c r="E43" s="19">
        <f t="shared" ref="E43:G43" si="30">D43+E42</f>
        <v>-449847.75993</v>
      </c>
      <c r="F43" s="19">
        <f t="shared" si="30"/>
        <v>-445321.84539000003</v>
      </c>
      <c r="G43" s="19">
        <f t="shared" si="30"/>
        <v>-445258.36141000001</v>
      </c>
      <c r="H43" s="19">
        <f t="shared" ref="H43" si="31">G43+H42</f>
        <v>-516393.68297000002</v>
      </c>
      <c r="I43" s="19">
        <f t="shared" ref="I43" si="32">H43+I42</f>
        <v>-525415.73103000002</v>
      </c>
      <c r="J43" s="19">
        <f t="shared" ref="J43" si="33">I43+J42</f>
        <v>-505387.48496999999</v>
      </c>
      <c r="K43" s="19">
        <f t="shared" ref="K43" si="34">J43+K42</f>
        <v>-477275.12783000001</v>
      </c>
      <c r="L43" s="19">
        <f t="shared" ref="L43" si="35">K43+L42</f>
        <v>-464899.67735000001</v>
      </c>
      <c r="M43" s="19">
        <f t="shared" ref="M43" si="36">L43+M42</f>
        <v>-462810.62861000001</v>
      </c>
      <c r="N43" s="14">
        <f>N5-N41+N16</f>
        <v>-462810.62861000013</v>
      </c>
    </row>
    <row r="44" spans="1:14" ht="20.399999999999999" customHeight="1" thickBot="1" x14ac:dyDescent="0.3">
      <c r="A44" s="15" t="s">
        <v>11</v>
      </c>
      <c r="B44" s="20">
        <f t="shared" ref="B44:H44" si="37">B6+B16-B7</f>
        <v>-233133.7</v>
      </c>
      <c r="C44" s="20">
        <f t="shared" si="37"/>
        <v>-240079.36000000002</v>
      </c>
      <c r="D44" s="20">
        <f t="shared" si="37"/>
        <v>-199712.26000000004</v>
      </c>
      <c r="E44" s="20">
        <f t="shared" si="37"/>
        <v>-197783.53000000006</v>
      </c>
      <c r="F44" s="20">
        <f t="shared" si="37"/>
        <v>-200650.98000000007</v>
      </c>
      <c r="G44" s="20">
        <f t="shared" si="37"/>
        <v>-226760.03000000009</v>
      </c>
      <c r="H44" s="20">
        <f t="shared" si="37"/>
        <v>-229133.69000000012</v>
      </c>
      <c r="I44" s="20">
        <f t="shared" ref="I44:N44" si="38">I6+I16-I7</f>
        <v>-233409.36000000013</v>
      </c>
      <c r="J44" s="20">
        <f t="shared" si="38"/>
        <v>-234138.57000000015</v>
      </c>
      <c r="K44" s="20">
        <f t="shared" si="38"/>
        <v>-227623.76000000018</v>
      </c>
      <c r="L44" s="20">
        <f t="shared" si="38"/>
        <v>-229055.48000000019</v>
      </c>
      <c r="M44" s="20">
        <f t="shared" si="38"/>
        <v>-231671.39000000019</v>
      </c>
      <c r="N44" s="20">
        <f t="shared" si="38"/>
        <v>-231671.39000000013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2026-02-18T02:43:13Z</cp:lastPrinted>
  <dcterms:created xsi:type="dcterms:W3CDTF">2011-06-06T03:25:48Z</dcterms:created>
  <dcterms:modified xsi:type="dcterms:W3CDTF">2026-02-18T02:44:26Z</dcterms:modified>
</cp:coreProperties>
</file>