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8" i="1" l="1"/>
  <c r="M21" i="1"/>
  <c r="M20" i="1"/>
  <c r="M13" i="1"/>
  <c r="M12" i="1"/>
  <c r="M17" i="1"/>
  <c r="M9" i="1"/>
  <c r="L21" i="1"/>
  <c r="L10" i="1"/>
  <c r="L13" i="1"/>
  <c r="L12" i="1"/>
  <c r="L17" i="1"/>
  <c r="L9" i="1"/>
  <c r="K21" i="1"/>
  <c r="K20" i="1"/>
  <c r="K13" i="1"/>
  <c r="K17" i="1"/>
  <c r="K9" i="1"/>
  <c r="L36" i="1" l="1"/>
  <c r="K36" i="1" l="1"/>
  <c r="M32" i="1" l="1"/>
  <c r="L32" i="1"/>
  <c r="K32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21" i="1" l="1"/>
  <c r="J20" i="1"/>
  <c r="J13" i="1"/>
  <c r="J12" i="1"/>
  <c r="J17" i="1"/>
  <c r="J9" i="1"/>
  <c r="I21" i="1"/>
  <c r="I20" i="1"/>
  <c r="I13" i="1"/>
  <c r="I12" i="1"/>
  <c r="I17" i="1"/>
  <c r="I9" i="1"/>
  <c r="H21" i="1"/>
  <c r="H20" i="1"/>
  <c r="H13" i="1"/>
  <c r="H9" i="1"/>
  <c r="H22" i="1" l="1"/>
  <c r="I22" i="1"/>
  <c r="J22" i="1"/>
  <c r="H14" i="1"/>
  <c r="I14" i="1"/>
  <c r="J14" i="1"/>
  <c r="G22" i="1" l="1"/>
  <c r="F22" i="1"/>
  <c r="E22" i="1"/>
  <c r="C22" i="1"/>
  <c r="D22" i="1"/>
  <c r="B22" i="1"/>
  <c r="C14" i="1"/>
  <c r="D14" i="1"/>
  <c r="E14" i="1"/>
  <c r="F14" i="1"/>
  <c r="G14" i="1"/>
  <c r="B14" i="1"/>
  <c r="J36" i="1" l="1"/>
  <c r="J32" i="1" l="1"/>
  <c r="I32" i="1"/>
  <c r="H32" i="1"/>
  <c r="H36" i="1" l="1"/>
  <c r="I36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/>
  <c r="I28" i="1"/>
  <c r="J28" i="1"/>
  <c r="H25" i="1"/>
  <c r="I25" i="1"/>
  <c r="J25" i="1"/>
  <c r="H24" i="1"/>
  <c r="I24" i="1"/>
  <c r="J24" i="1"/>
  <c r="J33" i="1" l="1"/>
  <c r="I33" i="1"/>
  <c r="H33" i="1"/>
  <c r="G21" i="1" l="1"/>
  <c r="G13" i="1"/>
  <c r="G12" i="1"/>
  <c r="G17" i="1"/>
  <c r="G9" i="1"/>
  <c r="F21" i="1"/>
  <c r="F13" i="1"/>
  <c r="F17" i="1"/>
  <c r="F9" i="1"/>
  <c r="E21" i="1"/>
  <c r="E13" i="1"/>
  <c r="E17" i="1"/>
  <c r="E9" i="1"/>
  <c r="G32" i="1" l="1"/>
  <c r="F32" i="1"/>
  <c r="E32" i="1"/>
  <c r="E36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21" i="1" l="1"/>
  <c r="D13" i="1"/>
  <c r="D17" i="1"/>
  <c r="D9" i="1"/>
  <c r="C18" i="1"/>
  <c r="C21" i="1"/>
  <c r="C10" i="1"/>
  <c r="C13" i="1"/>
  <c r="C17" i="1"/>
  <c r="C9" i="1"/>
  <c r="B18" i="1"/>
  <c r="B21" i="1"/>
  <c r="B20" i="1"/>
  <c r="B10" i="1"/>
  <c r="B13" i="1"/>
  <c r="B17" i="1"/>
  <c r="B9" i="1"/>
  <c r="D32" i="1" l="1"/>
  <c r="C32" i="1"/>
  <c r="B32" i="1"/>
  <c r="B29" i="1"/>
  <c r="D26" i="1" l="1"/>
  <c r="C28" i="1" l="1"/>
  <c r="D28" i="1"/>
  <c r="B28" i="1"/>
  <c r="C26" i="1"/>
  <c r="D25" i="1"/>
  <c r="C25" i="1"/>
  <c r="D27" i="1" l="1"/>
  <c r="D16" i="1"/>
  <c r="D8" i="1"/>
  <c r="N40" i="1"/>
  <c r="C27" i="1" l="1"/>
  <c r="C16" i="1"/>
  <c r="C8" i="1"/>
  <c r="B27" i="1" l="1"/>
  <c r="B16" i="1"/>
  <c r="B26" i="1"/>
  <c r="B8" i="1"/>
  <c r="C33" i="1" l="1"/>
  <c r="D33" i="1"/>
  <c r="C24" i="1"/>
  <c r="D24" i="1"/>
  <c r="B33" i="1"/>
  <c r="B25" i="1"/>
  <c r="B24" i="1"/>
  <c r="N6" i="1" l="1"/>
  <c r="N5" i="1"/>
  <c r="N22" i="1"/>
  <c r="N17" i="1"/>
  <c r="N14" i="1"/>
  <c r="N9" i="1"/>
  <c r="M7" i="1" l="1"/>
  <c r="L7" i="1"/>
  <c r="K15" i="1"/>
  <c r="K7" i="1"/>
  <c r="N24" i="1"/>
  <c r="N25" i="1"/>
  <c r="N28" i="1"/>
  <c r="N29" i="1"/>
  <c r="N30" i="1"/>
  <c r="N31" i="1"/>
  <c r="N32" i="1"/>
  <c r="N33" i="1"/>
  <c r="N34" i="1"/>
  <c r="N35" i="1"/>
  <c r="L15" i="1"/>
  <c r="M15" i="1"/>
  <c r="N11" i="1"/>
  <c r="N12" i="1"/>
  <c r="N10" i="1"/>
  <c r="M37" i="1" l="1"/>
  <c r="M38" i="1" s="1"/>
  <c r="L37" i="1"/>
  <c r="L38" i="1" s="1"/>
  <c r="K37" i="1"/>
  <c r="K38" i="1" s="1"/>
  <c r="N13" i="1"/>
  <c r="I15" i="1" l="1"/>
  <c r="H15" i="1"/>
  <c r="J15" i="1" l="1"/>
  <c r="H7" i="1"/>
  <c r="I7" i="1"/>
  <c r="J7" i="1"/>
  <c r="N36" i="1"/>
  <c r="N27" i="1"/>
  <c r="G7" i="1"/>
  <c r="F7" i="1"/>
  <c r="N21" i="1"/>
  <c r="N20" i="1"/>
  <c r="D15" i="1"/>
  <c r="D7" i="1"/>
  <c r="C15" i="1"/>
  <c r="C7" i="1"/>
  <c r="B15" i="1"/>
  <c r="B7" i="1"/>
  <c r="J37" i="1" l="1"/>
  <c r="J38" i="1" s="1"/>
  <c r="D37" i="1"/>
  <c r="D38" i="1" s="1"/>
  <c r="C37" i="1"/>
  <c r="C38" i="1" s="1"/>
  <c r="N18" i="1"/>
  <c r="N16" i="1"/>
  <c r="E7" i="1"/>
  <c r="N7" i="1" s="1"/>
  <c r="N8" i="1"/>
  <c r="N19" i="1"/>
  <c r="G15" i="1"/>
  <c r="N26" i="1"/>
  <c r="F15" i="1"/>
  <c r="I37" i="1"/>
  <c r="I38" i="1" s="1"/>
  <c r="H37" i="1"/>
  <c r="E15" i="1"/>
  <c r="B41" i="1"/>
  <c r="C6" i="1" s="1"/>
  <c r="C41" i="1" s="1"/>
  <c r="D6" i="1" s="1"/>
  <c r="D41" i="1" s="1"/>
  <c r="G37" i="1" l="1"/>
  <c r="G38" i="1" s="1"/>
  <c r="E6" i="1"/>
  <c r="E41" i="1" s="1"/>
  <c r="N15" i="1"/>
  <c r="N41" i="1" s="1"/>
  <c r="H38" i="1"/>
  <c r="F37" i="1"/>
  <c r="F38" i="1" s="1"/>
  <c r="B37" i="1"/>
  <c r="B38" i="1" s="1"/>
  <c r="B39" i="1" s="1"/>
  <c r="F6" i="1" l="1"/>
  <c r="F41" i="1" s="1"/>
  <c r="C5" i="1"/>
  <c r="C39" i="1"/>
  <c r="D39" i="1" s="1"/>
  <c r="E37" i="1"/>
  <c r="N37" i="1" s="1"/>
  <c r="N43" i="1"/>
  <c r="G6" i="1" l="1"/>
  <c r="G41" i="1" s="1"/>
  <c r="E5" i="1"/>
  <c r="D5" i="1"/>
  <c r="E38" i="1"/>
  <c r="N38" i="1"/>
  <c r="N39" i="1" s="1"/>
  <c r="H6" i="1" l="1"/>
  <c r="E39" i="1"/>
  <c r="F39" i="1" s="1"/>
  <c r="G39" i="1" s="1"/>
  <c r="H41" i="1" l="1"/>
  <c r="I6" i="1" s="1"/>
  <c r="G5" i="1"/>
  <c r="F5" i="1"/>
  <c r="H5" i="1"/>
  <c r="H39" i="1"/>
  <c r="I41" i="1" l="1"/>
  <c r="J6" i="1" s="1"/>
  <c r="J41" i="1" s="1"/>
  <c r="K6" i="1" s="1"/>
  <c r="I39" i="1"/>
  <c r="J39" i="1" s="1"/>
  <c r="I5" i="1"/>
  <c r="K41" i="1" l="1"/>
  <c r="L6" i="1" s="1"/>
  <c r="L41" i="1" s="1"/>
  <c r="M6" i="1" s="1"/>
  <c r="M41" i="1" s="1"/>
  <c r="J5" i="1"/>
  <c r="K5" i="1" l="1"/>
  <c r="K39" i="1"/>
  <c r="L5" i="1" l="1"/>
  <c r="L39" i="1"/>
  <c r="M5" i="1" l="1"/>
  <c r="M39" i="1"/>
</calcChain>
</file>

<file path=xl/sharedStrings.xml><?xml version="1.0" encoding="utf-8"?>
<sst xmlns="http://schemas.openxmlformats.org/spreadsheetml/2006/main" count="54" uniqueCount="46">
  <si>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</si>
  <si>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</si>
  <si>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</si>
  <si>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</si>
  <si>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</si>
  <si>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</si>
  <si>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</si>
  <si>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</si>
  <si>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</si>
  <si>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</si>
  <si>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</si>
  <si>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</si>
  <si>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</si>
  <si>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</si>
  <si>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</si>
  <si>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</si>
  <si>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</si>
  <si>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</si>
  <si>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</si>
  <si>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</si>
  <si>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</si>
  <si>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</si>
  <si>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</si>
  <si>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</si>
  <si>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</si>
  <si>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</si>
  <si>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</si>
  <si>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</si>
  <si>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Корректировка задолженности по решению Арбитражного суда за предыдущие периоды</t>
  </si>
  <si>
    <t>Содержание жилья и текущий ремонт,  ОПУ</t>
  </si>
  <si>
    <t xml:space="preserve">Содержание жилья и текущий ремонт,  ОПУ 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</si>
  <si>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</si>
  <si>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</si>
  <si>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</si>
  <si>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</si>
  <si>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</si>
  <si>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</si>
  <si>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</si>
  <si>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</si>
  <si>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</si>
  <si>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</si>
  <si>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>Ноябрь 2025г</t>
  </si>
  <si>
    <t>Декабрь 2025г</t>
  </si>
  <si>
    <t>Всего:                       за  2025г</t>
  </si>
  <si>
    <t xml:space="preserve">Корректировка задолженности </t>
  </si>
  <si>
    <t xml:space="preserve">                 ОТЧЕТ по дому Васильева, 65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</si>
</sst>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[$-419]mmmm\ yyyy;@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5" fontId="7" fillId="0" borderId="2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A2" sqref="A1:I1048576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4" width="15.109375" customWidth="1"/>
    <col min="5" max="5" width="15.44140625" customWidth="1"/>
    <col min="6" max="7" width="13.6640625" customWidth="1"/>
    <col min="8" max="8" width="14.109375" customWidth="1"/>
    <col min="9" max="9" width="13.88671875" customWidth="1"/>
    <col min="10" max="13" width="14.109375" customWidth="1"/>
    <col min="14" max="14" width="16.33203125" customWidth="1"/>
  </cols>
  <sheetData>
    <row r="1" spans="1:18" ht="20.25" customHeight="1" x14ac:dyDescent="0.35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21" t="s">
        <v>40</v>
      </c>
      <c r="L4" s="21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-681722.18</v>
      </c>
      <c r="C5" s="8">
        <f t="shared" ref="C5:D5" si="0">B39</f>
        <v>-616740.31012000004</v>
      </c>
      <c r="D5" s="8">
        <f t="shared" si="0"/>
        <v>-596453.57120000001</v>
      </c>
      <c r="E5" s="8">
        <f t="shared" ref="E5:J5" si="1">D39</f>
        <v>-596177.34756000002</v>
      </c>
      <c r="F5" s="8">
        <f t="shared" si="1"/>
        <v>-607127.25601999997</v>
      </c>
      <c r="G5" s="8">
        <f t="shared" si="1"/>
        <v>-615872.64292000001</v>
      </c>
      <c r="H5" s="8">
        <f t="shared" si="1"/>
        <v>-599526.79183999996</v>
      </c>
      <c r="I5" s="8">
        <f t="shared" si="1"/>
        <v>-644122.68077999994</v>
      </c>
      <c r="J5" s="8">
        <f t="shared" si="1"/>
        <v>-648492.55021999998</v>
      </c>
      <c r="K5" s="8">
        <f t="shared" ref="K5" si="2">J39</f>
        <v>-576513.24696000002</v>
      </c>
      <c r="L5" s="8">
        <f t="shared" ref="L5" si="3">K39</f>
        <v>-549909.26990000007</v>
      </c>
      <c r="M5" s="8">
        <f t="shared" ref="M5" si="4">L39</f>
        <v>-550028.40960000013</v>
      </c>
      <c r="N5" s="8">
        <f>B5</f>
        <v>-681722.18</v>
      </c>
    </row>
    <row r="6" spans="1:18" ht="21" customHeight="1" thickBot="1" x14ac:dyDescent="0.3">
      <c r="A6" s="7" t="s">
        <v>13</v>
      </c>
      <c r="B6" s="8">
        <v>-278396.21000000002</v>
      </c>
      <c r="C6" s="8">
        <f t="shared" ref="C6:M6" si="5">B41</f>
        <v>-223217.13999999998</v>
      </c>
      <c r="D6" s="8">
        <f t="shared" si="5"/>
        <v>-215206.84999999998</v>
      </c>
      <c r="E6" s="8">
        <f t="shared" si="5"/>
        <v>-180793.55999999997</v>
      </c>
      <c r="F6" s="8">
        <f t="shared" si="5"/>
        <v>-190712.28999999998</v>
      </c>
      <c r="G6" s="8">
        <f t="shared" si="5"/>
        <v>-195561.72999999998</v>
      </c>
      <c r="H6" s="8">
        <f t="shared" si="5"/>
        <v>-189271.38999999996</v>
      </c>
      <c r="I6" s="8">
        <f t="shared" si="5"/>
        <v>-187472.57999999996</v>
      </c>
      <c r="J6" s="8">
        <f t="shared" si="5"/>
        <v>-217350.24999999994</v>
      </c>
      <c r="K6" s="8">
        <f t="shared" si="5"/>
        <v>-162844.93999999994</v>
      </c>
      <c r="L6" s="8">
        <f t="shared" si="5"/>
        <v>-159192.15999999995</v>
      </c>
      <c r="M6" s="8">
        <f t="shared" si="5"/>
        <v>-175308.19999999995</v>
      </c>
      <c r="N6" s="8">
        <f>B6</f>
        <v>-278396.21000000002</v>
      </c>
    </row>
    <row r="7" spans="1:18" ht="20.25" customHeight="1" thickBot="1" x14ac:dyDescent="0.3">
      <c r="A7" s="9" t="s">
        <v>12</v>
      </c>
      <c r="B7" s="10">
        <f t="shared" ref="B7:G7" si="6">SUM(B8:B14)</f>
        <v>62599.9</v>
      </c>
      <c r="C7" s="10">
        <f t="shared" si="6"/>
        <v>59112.11</v>
      </c>
      <c r="D7" s="10">
        <f t="shared" si="6"/>
        <v>54481.11</v>
      </c>
      <c r="E7" s="10">
        <f t="shared" si="6"/>
        <v>55748.42</v>
      </c>
      <c r="F7" s="10">
        <f t="shared" si="6"/>
        <v>57048.02</v>
      </c>
      <c r="G7" s="10">
        <f t="shared" si="6"/>
        <v>55936.33</v>
      </c>
      <c r="H7" s="10">
        <f t="shared" ref="H7" si="7">SUM(H8:H14)</f>
        <v>53734.080000000002</v>
      </c>
      <c r="I7" s="10">
        <f t="shared" ref="I7" si="8">SUM(I8:I14)</f>
        <v>83579.069999999978</v>
      </c>
      <c r="J7" s="10">
        <f t="shared" ref="J7:M7" si="9">SUM(J8:J14)</f>
        <v>84444.239999999991</v>
      </c>
      <c r="K7" s="10">
        <f>SUM(K8:K14)</f>
        <v>80043.159999999989</v>
      </c>
      <c r="L7" s="10">
        <f t="shared" si="9"/>
        <v>84794.00999999998</v>
      </c>
      <c r="M7" s="10">
        <f t="shared" si="9"/>
        <v>92257.219999999987</v>
      </c>
      <c r="N7" s="10">
        <f>SUM(B7:M7)</f>
        <v>823777.67</v>
      </c>
    </row>
    <row r="8" spans="1:18" ht="24.75" customHeight="1" thickBot="1" x14ac:dyDescent="0.3">
      <c r="A8" s="4" t="s">
        <v>29</v>
      </c>
      <c r="B8" s="11">
        <f t="shared" ref="B8:G8" si="10">46438.89+1208.15</f>
        <v>47647.040000000001</v>
      </c>
      <c r="C8" s="11">
        <f t="shared" si="10"/>
        <v>47647.040000000001</v>
      </c>
      <c r="D8" s="11">
        <f t="shared" si="10"/>
        <v>47647.040000000001</v>
      </c>
      <c r="E8" s="11">
        <f t="shared" si="10"/>
        <v>47647.040000000001</v>
      </c>
      <c r="F8" s="11">
        <f t="shared" si="10"/>
        <v>47647.040000000001</v>
      </c>
      <c r="G8" s="11">
        <f t="shared" si="10"/>
        <v>47647.040000000001</v>
      </c>
      <c r="H8" s="11">
        <f>46438.89+1208.15</f>
        <v>47647.040000000001</v>
      </c>
      <c r="I8" s="11">
        <f>69500.52+1208.15</f>
        <v>70708.67</v>
      </c>
      <c r="J8" s="11">
        <f>69500.52+1208.15</f>
        <v>70708.67</v>
      </c>
      <c r="K8" s="11">
        <f>69500.52+1208.15</f>
        <v>70708.67</v>
      </c>
      <c r="L8" s="11">
        <f>69500.52+1208.15</f>
        <v>70708.67</v>
      </c>
      <c r="M8" s="11">
        <f>69500.52+1208.15</f>
        <v>70708.67</v>
      </c>
      <c r="N8" s="11">
        <f>SUM(B8:M8)</f>
        <v>687072.63</v>
      </c>
    </row>
    <row r="9" spans="1:18" ht="22.95" customHeight="1" thickBot="1" x14ac:dyDescent="0.3">
      <c r="A9" s="4" t="s">
        <v>17</v>
      </c>
      <c r="B9" s="11">
        <f t="shared" ref="B9:G9" si="11">2767.18+1719.67</f>
        <v>4486.8500000000004</v>
      </c>
      <c r="C9" s="11">
        <f t="shared" si="11"/>
        <v>4486.8500000000004</v>
      </c>
      <c r="D9" s="11">
        <f t="shared" si="11"/>
        <v>4486.8500000000004</v>
      </c>
      <c r="E9" s="11">
        <f t="shared" si="11"/>
        <v>4486.8500000000004</v>
      </c>
      <c r="F9" s="11">
        <f t="shared" si="11"/>
        <v>4486.8500000000004</v>
      </c>
      <c r="G9" s="11">
        <f t="shared" si="11"/>
        <v>4486.8500000000004</v>
      </c>
      <c r="H9" s="11">
        <f>2767.18+1719.67</f>
        <v>4486.8500000000004</v>
      </c>
      <c r="I9" s="11">
        <f>4141.37+2573.67</f>
        <v>6715.04</v>
      </c>
      <c r="J9" s="11">
        <f>4141.37+2573.67</f>
        <v>6715.04</v>
      </c>
      <c r="K9" s="11">
        <f>4141.37+2573.67</f>
        <v>6715.04</v>
      </c>
      <c r="L9" s="11">
        <f>4141.37+2573.67</f>
        <v>6715.04</v>
      </c>
      <c r="M9" s="11">
        <f>4141.37+2573.67</f>
        <v>6715.04</v>
      </c>
      <c r="N9" s="11">
        <f>SUM(B9:M9)</f>
        <v>64983.15</v>
      </c>
    </row>
    <row r="10" spans="1:18" ht="24.75" customHeight="1" thickBot="1" x14ac:dyDescent="0.3">
      <c r="A10" s="4" t="s">
        <v>18</v>
      </c>
      <c r="B10" s="11">
        <f>8065.39+481.19+299.03</f>
        <v>8845.61</v>
      </c>
      <c r="C10" s="11">
        <f>4874.29+290.45+180.5</f>
        <v>5345.24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>2728.28+163.29+101.47</f>
        <v>2993.04</v>
      </c>
      <c r="M10" s="11">
        <v>0</v>
      </c>
      <c r="N10" s="11">
        <f>SUM(B10:M10)</f>
        <v>17183.89</v>
      </c>
    </row>
    <row r="11" spans="1:18" ht="24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ref="N11" si="12">SUM(B11:M11)</f>
        <v>0</v>
      </c>
    </row>
    <row r="12" spans="1:18" ht="24.75" customHeight="1" thickBot="1" x14ac:dyDescent="0.3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f>2007.78+119.94+74.53</f>
        <v>2202.25</v>
      </c>
      <c r="H12" s="11">
        <v>0</v>
      </c>
      <c r="I12" s="11">
        <f>4132.87+245.65+152.66</f>
        <v>4531.1799999999994</v>
      </c>
      <c r="J12" s="11">
        <f>4920.72+293.34+182.29</f>
        <v>5396.35</v>
      </c>
      <c r="K12" s="11">
        <v>0</v>
      </c>
      <c r="L12" s="11">
        <f>2511.75+148.84+92.49</f>
        <v>2753.08</v>
      </c>
      <c r="M12" s="11">
        <f>12044.85+718.17+446.31</f>
        <v>13209.33</v>
      </c>
      <c r="N12" s="11">
        <f t="shared" ref="N12:N22" si="13">SUM(B12:M12)</f>
        <v>28092.19</v>
      </c>
    </row>
    <row r="13" spans="1:18" ht="24.75" customHeight="1" thickBot="1" x14ac:dyDescent="0.3">
      <c r="A13" s="4" t="s">
        <v>27</v>
      </c>
      <c r="B13" s="11">
        <f>229.31+13.01+8.08</f>
        <v>250.4</v>
      </c>
      <c r="C13" s="11">
        <f>239.55+14.45+8.98</f>
        <v>262.98</v>
      </c>
      <c r="D13" s="11">
        <f>890.52+53.47+33.23</f>
        <v>977.22</v>
      </c>
      <c r="E13" s="11">
        <f>2047.72+121.38+75.43</f>
        <v>2244.5299999999997</v>
      </c>
      <c r="F13" s="11">
        <f>3232.51+192.19+119.43</f>
        <v>3544.13</v>
      </c>
      <c r="G13" s="11">
        <f>209.1+13.01+8.08</f>
        <v>230.19</v>
      </c>
      <c r="H13" s="11">
        <f>209.1+13.01+8.08</f>
        <v>230.19</v>
      </c>
      <c r="I13" s="11">
        <f>230.75+14.45+8.98</f>
        <v>254.17999999999998</v>
      </c>
      <c r="J13" s="11">
        <f>230.75+14.45+8.98</f>
        <v>254.17999999999998</v>
      </c>
      <c r="K13" s="11">
        <f>1139.32+67.92+42.21</f>
        <v>1249.45</v>
      </c>
      <c r="L13" s="11">
        <f>230.75+14.45+8.98</f>
        <v>254.17999999999998</v>
      </c>
      <c r="M13" s="11">
        <f>230.75+14.45+8.98</f>
        <v>254.17999999999998</v>
      </c>
      <c r="N13" s="11">
        <f t="shared" si="13"/>
        <v>10005.810000000001</v>
      </c>
    </row>
    <row r="14" spans="1:18" ht="24.75" customHeight="1" thickBot="1" x14ac:dyDescent="0.3">
      <c r="A14" s="4" t="s">
        <v>15</v>
      </c>
      <c r="B14" s="11">
        <f>1670-300</f>
        <v>1370</v>
      </c>
      <c r="C14" s="11">
        <f t="shared" ref="C14:J14" si="14">1670-300</f>
        <v>1370</v>
      </c>
      <c r="D14" s="11">
        <f t="shared" si="14"/>
        <v>1370</v>
      </c>
      <c r="E14" s="11">
        <f t="shared" si="14"/>
        <v>1370</v>
      </c>
      <c r="F14" s="11">
        <f t="shared" si="14"/>
        <v>1370</v>
      </c>
      <c r="G14" s="11">
        <f t="shared" si="14"/>
        <v>1370</v>
      </c>
      <c r="H14" s="11">
        <f t="shared" si="14"/>
        <v>1370</v>
      </c>
      <c r="I14" s="11">
        <f t="shared" si="14"/>
        <v>1370</v>
      </c>
      <c r="J14" s="11">
        <f t="shared" si="14"/>
        <v>1370</v>
      </c>
      <c r="K14" s="11">
        <v>1370</v>
      </c>
      <c r="L14" s="11">
        <v>1370</v>
      </c>
      <c r="M14" s="11">
        <v>1370</v>
      </c>
      <c r="N14" s="11">
        <f t="shared" si="13"/>
        <v>16440</v>
      </c>
    </row>
    <row r="15" spans="1:18" ht="20.25" customHeight="1" thickBot="1" x14ac:dyDescent="0.3">
      <c r="A15" s="12" t="s">
        <v>8</v>
      </c>
      <c r="B15" s="13">
        <f t="shared" ref="B15:H15" si="15">SUM(B16:B22)</f>
        <v>117778.97000000002</v>
      </c>
      <c r="C15" s="13">
        <f t="shared" si="15"/>
        <v>67122.399999999994</v>
      </c>
      <c r="D15" s="13">
        <f t="shared" si="15"/>
        <v>47712.24</v>
      </c>
      <c r="E15" s="13">
        <f t="shared" si="15"/>
        <v>45829.689999999995</v>
      </c>
      <c r="F15" s="13">
        <f t="shared" si="15"/>
        <v>52198.579999999994</v>
      </c>
      <c r="G15" s="13">
        <f t="shared" si="15"/>
        <v>62226.670000000006</v>
      </c>
      <c r="H15" s="13">
        <f t="shared" si="15"/>
        <v>55532.89</v>
      </c>
      <c r="I15" s="13">
        <f>SUM(I16:I23)</f>
        <v>53701.399999999994</v>
      </c>
      <c r="J15" s="13">
        <f t="shared" ref="J15:M15" si="16">SUM(J16:J22)</f>
        <v>138949.54999999999</v>
      </c>
      <c r="K15" s="13">
        <f>SUM(K16:K22)</f>
        <v>83695.939999999988</v>
      </c>
      <c r="L15" s="13">
        <f t="shared" si="16"/>
        <v>68677.969999999987</v>
      </c>
      <c r="M15" s="13">
        <f t="shared" si="16"/>
        <v>73004.319999999992</v>
      </c>
      <c r="N15" s="13">
        <f>SUM(B15:M15)</f>
        <v>866430.61999999976</v>
      </c>
    </row>
    <row r="16" spans="1:18" ht="24" customHeight="1" thickBot="1" x14ac:dyDescent="0.3">
      <c r="A16" s="4" t="s">
        <v>30</v>
      </c>
      <c r="B16" s="11">
        <f>102866.45+2545.1</f>
        <v>105411.55</v>
      </c>
      <c r="C16" s="11">
        <f>57643.11+1529.25</f>
        <v>59172.36</v>
      </c>
      <c r="D16" s="11">
        <f>40045.43+1177.93</f>
        <v>41223.360000000001</v>
      </c>
      <c r="E16" s="11">
        <f>39947.97+896.29</f>
        <v>40844.26</v>
      </c>
      <c r="F16" s="11">
        <f>42917.54+1432.34</f>
        <v>44349.88</v>
      </c>
      <c r="G16" s="11">
        <f>51424.63+1679.94</f>
        <v>53104.57</v>
      </c>
      <c r="H16" s="11">
        <f>48946.33+1240.06</f>
        <v>50186.39</v>
      </c>
      <c r="I16" s="11">
        <f>43282.11+1084.06</f>
        <v>44366.17</v>
      </c>
      <c r="J16" s="11">
        <f>121545.29+2876.53</f>
        <v>124421.81999999999</v>
      </c>
      <c r="K16" s="11">
        <f>69375.54+1130.58</f>
        <v>70506.12</v>
      </c>
      <c r="L16" s="11">
        <f>57776.2+1115.55</f>
        <v>58891.75</v>
      </c>
      <c r="M16" s="11">
        <f>60695.56+1106.36</f>
        <v>61801.919999999998</v>
      </c>
      <c r="N16" s="11">
        <f t="shared" si="13"/>
        <v>754280.15</v>
      </c>
    </row>
    <row r="17" spans="1:15" ht="26.25" customHeight="1" thickBot="1" x14ac:dyDescent="0.3">
      <c r="A17" s="4" t="s">
        <v>17</v>
      </c>
      <c r="B17" s="11">
        <f>2767.18+1719.67</f>
        <v>4486.8500000000004</v>
      </c>
      <c r="C17" s="11">
        <f>2767.18+1719.67</f>
        <v>4486.8500000000004</v>
      </c>
      <c r="D17" s="11">
        <f>2767.18+1719.67</f>
        <v>4486.8500000000004</v>
      </c>
      <c r="E17" s="11">
        <f>0+1719.67</f>
        <v>1719.67</v>
      </c>
      <c r="F17" s="11">
        <f>2767.18+1719.67</f>
        <v>4486.8500000000004</v>
      </c>
      <c r="G17" s="11">
        <f>2767.18+1719.67</f>
        <v>4486.8500000000004</v>
      </c>
      <c r="H17" s="11">
        <v>1719.67</v>
      </c>
      <c r="I17" s="11">
        <f>2767.18*2+1719.67</f>
        <v>7254.03</v>
      </c>
      <c r="J17" s="11">
        <f>4141.37+2573.67</f>
        <v>6715.04</v>
      </c>
      <c r="K17" s="11">
        <f>4141.37+2573.67</f>
        <v>6715.04</v>
      </c>
      <c r="L17" s="11">
        <f>4141.37+2573.67</f>
        <v>6715.04</v>
      </c>
      <c r="M17" s="11">
        <f>4141.37+2573.67</f>
        <v>6715.04</v>
      </c>
      <c r="N17" s="11">
        <f t="shared" si="13"/>
        <v>59987.78</v>
      </c>
    </row>
    <row r="18" spans="1:15" ht="26.25" customHeight="1" thickBot="1" x14ac:dyDescent="0.3">
      <c r="A18" s="4" t="s">
        <v>18</v>
      </c>
      <c r="B18" s="11">
        <f>1171.13+358.36+222.7</f>
        <v>1752.1900000000003</v>
      </c>
      <c r="C18" s="11">
        <f>340.8+481.19+299.03</f>
        <v>1121.02</v>
      </c>
      <c r="D18" s="11">
        <v>200.93</v>
      </c>
      <c r="E18" s="11">
        <v>50.31</v>
      </c>
      <c r="F18" s="11">
        <v>134.66999999999999</v>
      </c>
      <c r="G18" s="11">
        <v>30.8</v>
      </c>
      <c r="H18" s="11">
        <v>14.4</v>
      </c>
      <c r="I18" s="11">
        <v>74.25</v>
      </c>
      <c r="J18" s="11">
        <v>732.96</v>
      </c>
      <c r="K18" s="11">
        <v>13</v>
      </c>
      <c r="L18" s="11">
        <v>39.43</v>
      </c>
      <c r="M18" s="11">
        <f>4.4+163.29+101.47</f>
        <v>269.15999999999997</v>
      </c>
      <c r="N18" s="11">
        <f t="shared" si="13"/>
        <v>4433.1200000000008</v>
      </c>
    </row>
    <row r="19" spans="1:15" ht="26.25" customHeight="1" thickBot="1" x14ac:dyDescent="0.3">
      <c r="A19" s="4" t="s">
        <v>19</v>
      </c>
      <c r="B19" s="11">
        <v>0</v>
      </c>
      <c r="C19" s="11">
        <v>0</v>
      </c>
      <c r="D19" s="11">
        <v>1.03</v>
      </c>
      <c r="E19" s="11">
        <v>0</v>
      </c>
      <c r="F19" s="11">
        <v>0</v>
      </c>
      <c r="G19" s="11">
        <v>1.44</v>
      </c>
      <c r="H19" s="11">
        <v>0.86</v>
      </c>
      <c r="I19" s="11">
        <v>0</v>
      </c>
      <c r="J19" s="11">
        <v>1.38</v>
      </c>
      <c r="K19" s="11">
        <v>0</v>
      </c>
      <c r="L19" s="11">
        <v>0</v>
      </c>
      <c r="M19" s="11">
        <v>0</v>
      </c>
      <c r="N19" s="11">
        <f t="shared" si="13"/>
        <v>4.7099999999999991</v>
      </c>
    </row>
    <row r="20" spans="1:15" ht="26.25" customHeight="1" thickBot="1" x14ac:dyDescent="0.3">
      <c r="A20" s="4" t="s">
        <v>20</v>
      </c>
      <c r="B20" s="11">
        <f>2835.6+95.37+59.27</f>
        <v>2990.24</v>
      </c>
      <c r="C20" s="11">
        <v>526.66</v>
      </c>
      <c r="D20" s="11">
        <v>152.27000000000001</v>
      </c>
      <c r="E20" s="11">
        <v>58.39</v>
      </c>
      <c r="F20" s="11">
        <v>150.29</v>
      </c>
      <c r="G20" s="11">
        <v>294.52999999999997</v>
      </c>
      <c r="H20" s="11">
        <f>1603.99+74.53</f>
        <v>1678.52</v>
      </c>
      <c r="I20" s="11">
        <f>253.42+119.94</f>
        <v>373.36</v>
      </c>
      <c r="J20" s="11">
        <f>4220.95+245.65+152.66</f>
        <v>4619.2599999999993</v>
      </c>
      <c r="K20" s="11">
        <f>4322.98+293.34+182.29</f>
        <v>4798.6099999999997</v>
      </c>
      <c r="L20" s="11">
        <v>733.17</v>
      </c>
      <c r="M20" s="11">
        <f>1692+148.84+92.49</f>
        <v>1933.33</v>
      </c>
      <c r="N20" s="11">
        <f t="shared" si="13"/>
        <v>18308.629999999997</v>
      </c>
    </row>
    <row r="21" spans="1:15" ht="26.25" customHeight="1" thickBot="1" x14ac:dyDescent="0.3">
      <c r="A21" s="4" t="s">
        <v>27</v>
      </c>
      <c r="B21" s="11">
        <f>1720.99+72.25+44.9</f>
        <v>1838.14</v>
      </c>
      <c r="C21" s="11">
        <f>494.42+13.01+8.08</f>
        <v>515.51</v>
      </c>
      <c r="D21" s="11">
        <f>324.37+14.45+8.98</f>
        <v>347.8</v>
      </c>
      <c r="E21" s="11">
        <f>703.83+33.23</f>
        <v>737.06000000000006</v>
      </c>
      <c r="F21" s="11">
        <f>1580.08+121.38+75.43</f>
        <v>1776.89</v>
      </c>
      <c r="G21" s="11">
        <f>2696.86+192.19+119.43</f>
        <v>3008.48</v>
      </c>
      <c r="H21" s="11">
        <f>624.97+8.08</f>
        <v>633.05000000000007</v>
      </c>
      <c r="I21" s="11">
        <f>299.49+13.01*2+8.08</f>
        <v>333.59</v>
      </c>
      <c r="J21" s="11">
        <f>1135.66+14.45+8.98</f>
        <v>1159.0900000000001</v>
      </c>
      <c r="K21" s="11">
        <f>339.74+14.45+8.98</f>
        <v>363.17</v>
      </c>
      <c r="L21" s="11">
        <f>888.45+67.92+42.21</f>
        <v>998.58</v>
      </c>
      <c r="M21" s="11">
        <f>261.44+14.45+8.98</f>
        <v>284.87</v>
      </c>
      <c r="N21" s="11">
        <f t="shared" si="13"/>
        <v>11996.230000000001</v>
      </c>
    </row>
    <row r="22" spans="1:15" ht="26.25" customHeight="1" thickBot="1" x14ac:dyDescent="0.3">
      <c r="A22" s="4" t="s">
        <v>15</v>
      </c>
      <c r="B22" s="14">
        <f>1600-300</f>
        <v>1300</v>
      </c>
      <c r="C22" s="14">
        <f t="shared" ref="C22:D22" si="17">1600-300</f>
        <v>1300</v>
      </c>
      <c r="D22" s="14">
        <f t="shared" si="17"/>
        <v>1300</v>
      </c>
      <c r="E22" s="14">
        <f>2720-300</f>
        <v>2420</v>
      </c>
      <c r="F22" s="14">
        <f>1600-300</f>
        <v>1300</v>
      </c>
      <c r="G22" s="14">
        <f>1600-300</f>
        <v>1300</v>
      </c>
      <c r="H22" s="14">
        <f t="shared" ref="H22:J22" si="18">1600-300</f>
        <v>1300</v>
      </c>
      <c r="I22" s="14">
        <f t="shared" si="18"/>
        <v>1300</v>
      </c>
      <c r="J22" s="14">
        <f t="shared" si="18"/>
        <v>1300</v>
      </c>
      <c r="K22" s="14">
        <v>1300</v>
      </c>
      <c r="L22" s="14">
        <v>1300</v>
      </c>
      <c r="M22" s="14">
        <v>2000</v>
      </c>
      <c r="N22" s="11">
        <f t="shared" si="13"/>
        <v>17420</v>
      </c>
      <c r="O22" s="3"/>
    </row>
    <row r="23" spans="1:15" ht="21.75" customHeight="1" thickBot="1" x14ac:dyDescent="0.3">
      <c r="A23" s="15" t="s">
        <v>25</v>
      </c>
      <c r="B23" s="16"/>
      <c r="C23" s="16"/>
      <c r="D23" s="16"/>
      <c r="E23" s="16"/>
      <c r="F23" s="16"/>
      <c r="G23" s="16"/>
      <c r="H23" s="16"/>
      <c r="I23" s="14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9">2659.3*0.6</f>
        <v>1595.5800000000002</v>
      </c>
      <c r="C24" s="11">
        <f t="shared" si="19"/>
        <v>1595.5800000000002</v>
      </c>
      <c r="D24" s="11">
        <f t="shared" si="19"/>
        <v>1595.5800000000002</v>
      </c>
      <c r="E24" s="11">
        <f t="shared" si="19"/>
        <v>1595.5800000000002</v>
      </c>
      <c r="F24" s="11">
        <f t="shared" si="19"/>
        <v>1595.5800000000002</v>
      </c>
      <c r="G24" s="11">
        <f t="shared" si="19"/>
        <v>1595.5800000000002</v>
      </c>
      <c r="H24" s="11">
        <f t="shared" si="19"/>
        <v>1595.5800000000002</v>
      </c>
      <c r="I24" s="11">
        <f t="shared" si="19"/>
        <v>1595.5800000000002</v>
      </c>
      <c r="J24" s="11">
        <f t="shared" si="19"/>
        <v>1595.5800000000002</v>
      </c>
      <c r="K24" s="11">
        <f t="shared" si="19"/>
        <v>1595.5800000000002</v>
      </c>
      <c r="L24" s="11">
        <f t="shared" si="19"/>
        <v>1595.5800000000002</v>
      </c>
      <c r="M24" s="11">
        <f t="shared" si="19"/>
        <v>1595.5800000000002</v>
      </c>
      <c r="N24" s="11">
        <f t="shared" ref="N24:N36" si="20">SUM(B24:M24)</f>
        <v>19146.960000000003</v>
      </c>
    </row>
    <row r="25" spans="1:15" ht="22.5" customHeight="1" thickBot="1" x14ac:dyDescent="0.3">
      <c r="A25" s="4" t="s">
        <v>2</v>
      </c>
      <c r="B25" s="11">
        <f t="shared" ref="B25" si="21">2659.3*0.17</f>
        <v>452.08100000000007</v>
      </c>
      <c r="C25" s="11">
        <f>2659.3*0.2</f>
        <v>531.86</v>
      </c>
      <c r="D25" s="11">
        <f>2659.3*0.2</f>
        <v>531.86</v>
      </c>
      <c r="E25" s="11">
        <f t="shared" ref="E25:M25" si="22">2659.3*0.2</f>
        <v>531.86</v>
      </c>
      <c r="F25" s="11">
        <f t="shared" si="22"/>
        <v>531.86</v>
      </c>
      <c r="G25" s="11">
        <f t="shared" si="22"/>
        <v>531.86</v>
      </c>
      <c r="H25" s="11">
        <f t="shared" si="22"/>
        <v>531.86</v>
      </c>
      <c r="I25" s="11">
        <f t="shared" si="22"/>
        <v>531.86</v>
      </c>
      <c r="J25" s="11">
        <f t="shared" si="22"/>
        <v>531.86</v>
      </c>
      <c r="K25" s="11">
        <f t="shared" si="22"/>
        <v>531.86</v>
      </c>
      <c r="L25" s="11">
        <f t="shared" si="22"/>
        <v>531.86</v>
      </c>
      <c r="M25" s="11">
        <f t="shared" si="22"/>
        <v>531.86</v>
      </c>
      <c r="N25" s="11">
        <f t="shared" si="20"/>
        <v>6302.5409999999993</v>
      </c>
    </row>
    <row r="26" spans="1:15" ht="21" customHeight="1" thickBot="1" x14ac:dyDescent="0.3">
      <c r="A26" s="4" t="s">
        <v>3</v>
      </c>
      <c r="B26" s="11">
        <f>55941.74*2.3%</f>
        <v>1286.66002</v>
      </c>
      <c r="C26" s="11">
        <f>52760.88*2.6%</f>
        <v>1371.78288</v>
      </c>
      <c r="D26" s="11">
        <f>48537.56*2.6%</f>
        <v>1261.9765600000001</v>
      </c>
      <c r="E26" s="11">
        <f>49694.76*2.6%</f>
        <v>1292.0637600000002</v>
      </c>
      <c r="F26" s="11">
        <f>50879.55*2.6%</f>
        <v>1322.8683000000001</v>
      </c>
      <c r="G26" s="11">
        <f>49863.92*2.6%</f>
        <v>1296.46192</v>
      </c>
      <c r="H26" s="11">
        <f>47856.14*2.6%</f>
        <v>1244.25964</v>
      </c>
      <c r="I26" s="11">
        <f>75072.29*2.6%</f>
        <v>1951.8795399999999</v>
      </c>
      <c r="J26" s="11">
        <f>75860.14*2.6%</f>
        <v>1972.3636400000003</v>
      </c>
      <c r="K26" s="11">
        <f>71847.99*2.6%</f>
        <v>1868.0477400000002</v>
      </c>
      <c r="L26" s="11">
        <f>76179.45*2.6%</f>
        <v>1980.6657</v>
      </c>
      <c r="M26" s="11">
        <f>82984.27*2.6%</f>
        <v>2157.5910200000003</v>
      </c>
      <c r="N26" s="11">
        <f t="shared" si="20"/>
        <v>19006.620719999999</v>
      </c>
    </row>
    <row r="27" spans="1:15" ht="23.25" customHeight="1" thickBot="1" x14ac:dyDescent="0.3">
      <c r="A27" s="4" t="s">
        <v>4</v>
      </c>
      <c r="B27" s="11">
        <f>111139.27*3%</f>
        <v>3334.1781000000001</v>
      </c>
      <c r="C27" s="11">
        <f>60534.24*3%</f>
        <v>1816.0271999999998</v>
      </c>
      <c r="D27" s="11">
        <f>41901.96*3%</f>
        <v>1257.0588</v>
      </c>
      <c r="E27" s="11">
        <f>41656.79*3%</f>
        <v>1249.7037</v>
      </c>
      <c r="F27" s="11">
        <f>46214.92*3%</f>
        <v>1386.4476</v>
      </c>
      <c r="G27" s="11">
        <f>56128.2*3%</f>
        <v>1683.8459999999998</v>
      </c>
      <c r="H27" s="11">
        <f>52430.61*3%</f>
        <v>1572.9183</v>
      </c>
      <c r="I27" s="11">
        <f>44993.33*3%</f>
        <v>1349.7999</v>
      </c>
      <c r="J27" s="11">
        <f>130512.77*3%</f>
        <v>3915.3831</v>
      </c>
      <c r="K27" s="11">
        <f>75181.84*3%</f>
        <v>2255.4551999999999</v>
      </c>
      <c r="L27" s="11">
        <f>60552.8*3%</f>
        <v>1816.5840000000001</v>
      </c>
      <c r="M27" s="11">
        <f>63759.76*3%</f>
        <v>1912.7927999999999</v>
      </c>
      <c r="N27" s="11">
        <f t="shared" si="20"/>
        <v>23550.194699999996</v>
      </c>
    </row>
    <row r="28" spans="1:15" ht="23.25" customHeight="1" thickBot="1" x14ac:dyDescent="0.3">
      <c r="A28" s="4" t="s">
        <v>9</v>
      </c>
      <c r="B28" s="11">
        <f>2659.3*12</f>
        <v>31911.600000000002</v>
      </c>
      <c r="C28" s="11">
        <f t="shared" ref="C28:M28" si="23">2659.3*12</f>
        <v>31911.600000000002</v>
      </c>
      <c r="D28" s="11">
        <f t="shared" si="23"/>
        <v>31911.600000000002</v>
      </c>
      <c r="E28" s="11">
        <f t="shared" si="23"/>
        <v>31911.600000000002</v>
      </c>
      <c r="F28" s="11">
        <f t="shared" si="23"/>
        <v>31911.600000000002</v>
      </c>
      <c r="G28" s="11">
        <f t="shared" si="23"/>
        <v>31911.600000000002</v>
      </c>
      <c r="H28" s="11">
        <f t="shared" si="23"/>
        <v>31911.600000000002</v>
      </c>
      <c r="I28" s="11">
        <f t="shared" si="23"/>
        <v>31911.600000000002</v>
      </c>
      <c r="J28" s="11">
        <f t="shared" si="23"/>
        <v>31911.600000000002</v>
      </c>
      <c r="K28" s="11">
        <f t="shared" si="23"/>
        <v>31911.600000000002</v>
      </c>
      <c r="L28" s="11">
        <f t="shared" si="23"/>
        <v>31911.600000000002</v>
      </c>
      <c r="M28" s="11">
        <f t="shared" si="23"/>
        <v>31911.600000000002</v>
      </c>
      <c r="N28" s="11">
        <f t="shared" si="20"/>
        <v>382939.19999999995</v>
      </c>
    </row>
    <row r="29" spans="1:15" ht="26.25" customHeight="1" thickBot="1" x14ac:dyDescent="0.3">
      <c r="A29" s="4" t="s">
        <v>21</v>
      </c>
      <c r="B29" s="11">
        <f>4782.65+562.6</f>
        <v>5345.25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2698.27+293.63</f>
        <v>2991.9</v>
      </c>
      <c r="L29" s="11">
        <v>0</v>
      </c>
      <c r="M29" s="11">
        <v>0</v>
      </c>
      <c r="N29" s="11">
        <f t="shared" si="20"/>
        <v>8337.15</v>
      </c>
    </row>
    <row r="30" spans="1:15" ht="26.25" customHeight="1" thickBot="1" x14ac:dyDescent="0.3">
      <c r="A30" s="4" t="s">
        <v>22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20"/>
        <v>0</v>
      </c>
    </row>
    <row r="31" spans="1:15" ht="26.25" customHeight="1" thickBot="1" x14ac:dyDescent="0.3">
      <c r="A31" s="4" t="s">
        <v>23</v>
      </c>
      <c r="B31" s="11">
        <v>0</v>
      </c>
      <c r="C31" s="11">
        <v>0</v>
      </c>
      <c r="D31" s="11">
        <v>0</v>
      </c>
      <c r="E31" s="11">
        <v>0</v>
      </c>
      <c r="F31" s="11">
        <v>2201.7600000000002</v>
      </c>
      <c r="G31" s="11">
        <v>0</v>
      </c>
      <c r="H31" s="11">
        <v>4532.24</v>
      </c>
      <c r="I31" s="11">
        <v>5396.13</v>
      </c>
      <c r="J31" s="11">
        <v>0</v>
      </c>
      <c r="K31" s="11">
        <v>0</v>
      </c>
      <c r="L31" s="11">
        <v>13208.6</v>
      </c>
      <c r="M31" s="11">
        <v>16701.66</v>
      </c>
      <c r="N31" s="11">
        <f t="shared" si="20"/>
        <v>42040.39</v>
      </c>
    </row>
    <row r="32" spans="1:15" ht="26.25" customHeight="1" thickBot="1" x14ac:dyDescent="0.3">
      <c r="A32" s="4" t="s">
        <v>27</v>
      </c>
      <c r="B32" s="11">
        <f>229.28+10.28</f>
        <v>239.56</v>
      </c>
      <c r="C32" s="11">
        <f>229.28+747.34</f>
        <v>976.62</v>
      </c>
      <c r="D32" s="11">
        <f>229.28+2016.47</f>
        <v>2245.75</v>
      </c>
      <c r="E32" s="11">
        <f>229.28+3315.82</f>
        <v>3545.1000000000004</v>
      </c>
      <c r="F32" s="11">
        <f>229.28+0</f>
        <v>229.28</v>
      </c>
      <c r="G32" s="11">
        <f>229.28+0</f>
        <v>229.28</v>
      </c>
      <c r="H32" s="11">
        <f>253.03+0</f>
        <v>253.03</v>
      </c>
      <c r="I32" s="11">
        <f>253.03+0</f>
        <v>253.03</v>
      </c>
      <c r="J32" s="11">
        <f>253.03+996.34</f>
        <v>1249.3700000000001</v>
      </c>
      <c r="K32" s="11">
        <f>253.03+0</f>
        <v>253.03</v>
      </c>
      <c r="L32" s="11">
        <f>253.03+0</f>
        <v>253.03</v>
      </c>
      <c r="M32" s="11">
        <f>253.03+0</f>
        <v>253.03</v>
      </c>
      <c r="N32" s="11">
        <f t="shared" si="20"/>
        <v>9980.1100000000024</v>
      </c>
    </row>
    <row r="33" spans="1:14" ht="22.5" customHeight="1" thickBot="1" x14ac:dyDescent="0.3">
      <c r="A33" s="4" t="s">
        <v>6</v>
      </c>
      <c r="B33" s="11">
        <f t="shared" ref="B33:H33" si="24">2659.3*2.87</f>
        <v>7632.1910000000007</v>
      </c>
      <c r="C33" s="11">
        <f t="shared" si="24"/>
        <v>7632.1910000000007</v>
      </c>
      <c r="D33" s="11">
        <f t="shared" si="24"/>
        <v>7632.1910000000007</v>
      </c>
      <c r="E33" s="11">
        <f t="shared" si="24"/>
        <v>7632.1910000000007</v>
      </c>
      <c r="F33" s="11">
        <f t="shared" si="24"/>
        <v>7632.1910000000007</v>
      </c>
      <c r="G33" s="11">
        <f t="shared" si="24"/>
        <v>7632.1910000000007</v>
      </c>
      <c r="H33" s="11">
        <f t="shared" si="24"/>
        <v>7632.1910000000007</v>
      </c>
      <c r="I33" s="11">
        <f>2659.3*4.3</f>
        <v>11434.99</v>
      </c>
      <c r="J33" s="11">
        <f>2659.3*4.3</f>
        <v>11434.99</v>
      </c>
      <c r="K33" s="11">
        <f t="shared" ref="K33:M33" si="25">2659.3*4.3</f>
        <v>11434.99</v>
      </c>
      <c r="L33" s="11">
        <f t="shared" si="25"/>
        <v>11434.99</v>
      </c>
      <c r="M33" s="11">
        <f t="shared" si="25"/>
        <v>11434.99</v>
      </c>
      <c r="N33" s="11">
        <f t="shared" si="20"/>
        <v>110600.28700000001</v>
      </c>
    </row>
    <row r="34" spans="1:14" ht="24.75" customHeight="1" thickBot="1" x14ac:dyDescent="0.3">
      <c r="A34" s="4" t="s">
        <v>26</v>
      </c>
      <c r="B34" s="11">
        <v>1000</v>
      </c>
      <c r="C34" s="11">
        <v>1000</v>
      </c>
      <c r="D34" s="11">
        <v>1000</v>
      </c>
      <c r="E34" s="11">
        <v>1000</v>
      </c>
      <c r="F34" s="11">
        <v>1000</v>
      </c>
      <c r="G34" s="11">
        <v>1000</v>
      </c>
      <c r="H34" s="11">
        <v>1000</v>
      </c>
      <c r="I34" s="11">
        <v>1000</v>
      </c>
      <c r="J34" s="11">
        <v>1000</v>
      </c>
      <c r="K34" s="11">
        <v>1000</v>
      </c>
      <c r="L34" s="11">
        <v>1000</v>
      </c>
      <c r="M34" s="11">
        <v>1000</v>
      </c>
      <c r="N34" s="11">
        <f t="shared" si="20"/>
        <v>12000</v>
      </c>
    </row>
    <row r="35" spans="1:14" ht="24.75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13132.38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 t="shared" si="20"/>
        <v>13132.38</v>
      </c>
    </row>
    <row r="36" spans="1:14" ht="24" customHeight="1" thickBot="1" x14ac:dyDescent="0.3">
      <c r="A36" s="4" t="s">
        <v>10</v>
      </c>
      <c r="B36" s="11">
        <v>0</v>
      </c>
      <c r="C36" s="11">
        <v>0</v>
      </c>
      <c r="D36" s="11">
        <v>0</v>
      </c>
      <c r="E36" s="11">
        <f>713.8+7307.7</f>
        <v>8021.5</v>
      </c>
      <c r="F36" s="11">
        <v>0</v>
      </c>
      <c r="G36" s="11">
        <v>0</v>
      </c>
      <c r="H36" s="11">
        <f>25690.1+24165</f>
        <v>49855.1</v>
      </c>
      <c r="I36" s="11">
        <f>2646.4</f>
        <v>2646.4</v>
      </c>
      <c r="J36" s="11">
        <f>13359.1</f>
        <v>13359.1</v>
      </c>
      <c r="K36" s="11">
        <f>677.7+2571.8</f>
        <v>3249.5</v>
      </c>
      <c r="L36" s="11">
        <f>3197.8+1866.4</f>
        <v>5064.2000000000007</v>
      </c>
      <c r="M36" s="11">
        <v>0</v>
      </c>
      <c r="N36" s="11">
        <f t="shared" si="20"/>
        <v>82195.8</v>
      </c>
    </row>
    <row r="37" spans="1:14" ht="22.5" customHeight="1" thickBot="1" x14ac:dyDescent="0.3">
      <c r="A37" s="9" t="s">
        <v>24</v>
      </c>
      <c r="B37" s="10">
        <f t="shared" ref="B37:M37" si="26">SUM(B24:B36)</f>
        <v>52797.100119999996</v>
      </c>
      <c r="C37" s="10">
        <f t="shared" si="26"/>
        <v>46835.661080000005</v>
      </c>
      <c r="D37" s="10">
        <f t="shared" si="26"/>
        <v>47436.016360000001</v>
      </c>
      <c r="E37" s="10">
        <f t="shared" si="26"/>
        <v>56779.598460000001</v>
      </c>
      <c r="F37" s="10">
        <f t="shared" si="26"/>
        <v>60943.966899999999</v>
      </c>
      <c r="G37" s="10">
        <f t="shared" si="26"/>
        <v>45880.818919999998</v>
      </c>
      <c r="H37" s="10">
        <f t="shared" si="26"/>
        <v>100128.77893999999</v>
      </c>
      <c r="I37" s="10">
        <f t="shared" si="26"/>
        <v>58071.269439999996</v>
      </c>
      <c r="J37" s="10">
        <f t="shared" si="26"/>
        <v>66970.246740000002</v>
      </c>
      <c r="K37" s="10">
        <f t="shared" si="26"/>
        <v>57091.962939999998</v>
      </c>
      <c r="L37" s="10">
        <f t="shared" si="26"/>
        <v>68797.109700000001</v>
      </c>
      <c r="M37" s="10">
        <f t="shared" si="26"/>
        <v>67499.103820000004</v>
      </c>
      <c r="N37" s="10">
        <f>SUM(B37:M37)</f>
        <v>729231.63341999997</v>
      </c>
    </row>
    <row r="38" spans="1:14" ht="23.25" customHeight="1" thickBot="1" x14ac:dyDescent="0.3">
      <c r="A38" s="4" t="s">
        <v>5</v>
      </c>
      <c r="B38" s="18">
        <f t="shared" ref="B38:N38" si="27">B15-B37</f>
        <v>64981.86988000002</v>
      </c>
      <c r="C38" s="18">
        <f t="shared" si="27"/>
        <v>20286.738919999989</v>
      </c>
      <c r="D38" s="18">
        <f t="shared" si="27"/>
        <v>276.22363999999652</v>
      </c>
      <c r="E38" s="18">
        <f t="shared" si="27"/>
        <v>-10949.908460000006</v>
      </c>
      <c r="F38" s="18">
        <f t="shared" si="27"/>
        <v>-8745.386900000005</v>
      </c>
      <c r="G38" s="18">
        <f t="shared" si="27"/>
        <v>16345.851080000008</v>
      </c>
      <c r="H38" s="18">
        <f t="shared" si="27"/>
        <v>-44595.88893999999</v>
      </c>
      <c r="I38" s="18">
        <f t="shared" si="27"/>
        <v>-4369.8694400000022</v>
      </c>
      <c r="J38" s="18">
        <f t="shared" si="27"/>
        <v>71979.303259999986</v>
      </c>
      <c r="K38" s="18">
        <f t="shared" si="27"/>
        <v>26603.97705999999</v>
      </c>
      <c r="L38" s="18">
        <f t="shared" si="27"/>
        <v>-119.13970000001427</v>
      </c>
      <c r="M38" s="18">
        <f t="shared" si="27"/>
        <v>5505.2161799999885</v>
      </c>
      <c r="N38" s="11">
        <f t="shared" si="27"/>
        <v>137198.98657999979</v>
      </c>
    </row>
    <row r="39" spans="1:14" ht="23.25" customHeight="1" thickBot="1" x14ac:dyDescent="0.3">
      <c r="A39" s="4" t="s">
        <v>7</v>
      </c>
      <c r="B39" s="14">
        <f>B5+B38</f>
        <v>-616740.31012000004</v>
      </c>
      <c r="C39" s="19">
        <f>B39+C38</f>
        <v>-596453.57120000001</v>
      </c>
      <c r="D39" s="19">
        <f>C39+D38</f>
        <v>-596177.34756000002</v>
      </c>
      <c r="E39" s="14">
        <f>D39+E38</f>
        <v>-607127.25601999997</v>
      </c>
      <c r="F39" s="19">
        <f>E39+F38</f>
        <v>-615872.64292000001</v>
      </c>
      <c r="G39" s="19">
        <f>F39+G38</f>
        <v>-599526.79183999996</v>
      </c>
      <c r="H39" s="19">
        <f t="shared" ref="H39:J39" si="28">G39+H38</f>
        <v>-644122.68077999994</v>
      </c>
      <c r="I39" s="19">
        <f t="shared" si="28"/>
        <v>-648492.55021999998</v>
      </c>
      <c r="J39" s="19">
        <f t="shared" si="28"/>
        <v>-576513.24696000002</v>
      </c>
      <c r="K39" s="19">
        <f t="shared" ref="K39" si="29">J39+K38</f>
        <v>-549909.26990000007</v>
      </c>
      <c r="L39" s="19">
        <f t="shared" ref="L39" si="30">K39+L38</f>
        <v>-550028.40960000013</v>
      </c>
      <c r="M39" s="19">
        <f t="shared" ref="M39" si="31">L39+M38</f>
        <v>-544523.19342000014</v>
      </c>
      <c r="N39" s="14">
        <f>N5+N38</f>
        <v>-544523.19342000026</v>
      </c>
    </row>
    <row r="40" spans="1:14" ht="23.25" customHeight="1" thickBot="1" x14ac:dyDescent="0.3">
      <c r="A40" s="4" t="s">
        <v>44</v>
      </c>
      <c r="B40" s="11">
        <v>0</v>
      </c>
      <c r="C40" s="11">
        <v>0</v>
      </c>
      <c r="D40" s="11">
        <v>41182.160000000003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SUM(B40:M40)</f>
        <v>41182.160000000003</v>
      </c>
    </row>
    <row r="41" spans="1:14" ht="27" customHeight="1" thickBot="1" x14ac:dyDescent="0.3">
      <c r="A41" s="15" t="s">
        <v>11</v>
      </c>
      <c r="B41" s="20">
        <f t="shared" ref="B41:C41" si="32">B6+B15-B7</f>
        <v>-223217.13999999998</v>
      </c>
      <c r="C41" s="20">
        <f t="shared" si="32"/>
        <v>-215206.84999999998</v>
      </c>
      <c r="D41" s="20">
        <f>D6+D15-D7+D40</f>
        <v>-180793.55999999997</v>
      </c>
      <c r="E41" s="20">
        <f t="shared" ref="E41:N41" si="33">E6+E15-E7+E40</f>
        <v>-190712.28999999998</v>
      </c>
      <c r="F41" s="20">
        <f t="shared" si="33"/>
        <v>-195561.72999999998</v>
      </c>
      <c r="G41" s="20">
        <f t="shared" si="33"/>
        <v>-189271.38999999996</v>
      </c>
      <c r="H41" s="20">
        <f t="shared" si="33"/>
        <v>-187472.57999999996</v>
      </c>
      <c r="I41" s="20">
        <f t="shared" si="33"/>
        <v>-217350.24999999994</v>
      </c>
      <c r="J41" s="20">
        <f t="shared" si="33"/>
        <v>-162844.93999999994</v>
      </c>
      <c r="K41" s="20">
        <f t="shared" si="33"/>
        <v>-159192.15999999995</v>
      </c>
      <c r="L41" s="20">
        <f t="shared" si="33"/>
        <v>-175308.19999999995</v>
      </c>
      <c r="M41" s="20">
        <f t="shared" si="33"/>
        <v>-194561.09999999995</v>
      </c>
      <c r="N41" s="20">
        <f t="shared" si="33"/>
        <v>-194561.10000000036</v>
      </c>
    </row>
    <row r="42" spans="1:14" ht="21.75" hidden="1" customHeight="1" thickBot="1" x14ac:dyDescent="0.35">
      <c r="A42" s="25" t="s">
        <v>28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2"/>
    </row>
    <row r="43" spans="1:14" ht="19.5" hidden="1" customHeight="1" thickBot="1" x14ac:dyDescent="0.35">
      <c r="A43" s="25" t="s">
        <v>11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2">
        <f>N41+N42</f>
        <v>-194561.10000000036</v>
      </c>
    </row>
  </sheetData>
  <mergeCells count="3">
    <mergeCell ref="A1:N1"/>
    <mergeCell ref="A42:M42"/>
    <mergeCell ref="A43:M4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2026-02-16T07:25:20Z</cp:lastPrinted>
  <dcterms:created xsi:type="dcterms:W3CDTF">2011-06-06T03:25:48Z</dcterms:created>
  <dcterms:modified xsi:type="dcterms:W3CDTF">2026-02-16T07:33:27Z</dcterms:modified>
</cp:coreProperties>
</file>