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96" windowWidth="16152" windowHeight="10992"/>
  </bookViews>
  <sheets>
    <sheet name="2025" sheetId="1" r:id="rId1"/>
  </sheets>
  <calcPr calcId="144525" refMode="R1C1"/>
</workbook>
</file>

<file path=xl/calcChain.xml><?xml version="1.0" encoding="utf-8"?>
<calcChain xmlns="http://schemas.openxmlformats.org/spreadsheetml/2006/main">
  <c r="M19" i="1" l="1"/>
  <c r="M22" i="1"/>
  <c r="M20" i="1"/>
  <c r="M10" i="1"/>
  <c r="M13" i="1"/>
  <c r="M11" i="1"/>
  <c r="L10" i="1"/>
  <c r="L13" i="1"/>
  <c r="L11" i="1"/>
  <c r="K19" i="1"/>
  <c r="K22" i="1"/>
  <c r="K21" i="1"/>
  <c r="K20" i="1"/>
  <c r="K10" i="1"/>
  <c r="K13" i="1"/>
  <c r="K12" i="1"/>
  <c r="K11" i="1"/>
  <c r="M41" i="1" l="1"/>
  <c r="L41" i="1" l="1"/>
  <c r="M34" i="1" l="1"/>
  <c r="L34" i="1"/>
  <c r="K34" i="1"/>
  <c r="M31" i="1"/>
  <c r="L31" i="1"/>
  <c r="K31" i="1"/>
  <c r="M29" i="1" l="1"/>
  <c r="M17" i="1"/>
  <c r="M28" i="1"/>
  <c r="M8" i="1"/>
  <c r="L29" i="1" l="1"/>
  <c r="L17" i="1"/>
  <c r="L28" i="1"/>
  <c r="L8" i="1"/>
  <c r="K29" i="1" l="1"/>
  <c r="K17" i="1"/>
  <c r="K28" i="1"/>
  <c r="K8" i="1"/>
  <c r="K35" i="1" l="1"/>
  <c r="L35" i="1"/>
  <c r="M35" i="1"/>
  <c r="K30" i="1"/>
  <c r="L30" i="1"/>
  <c r="M30" i="1"/>
  <c r="K27" i="1"/>
  <c r="L27" i="1"/>
  <c r="M27" i="1"/>
  <c r="K26" i="1"/>
  <c r="L26" i="1"/>
  <c r="M26" i="1"/>
  <c r="J10" i="1" l="1"/>
  <c r="J13" i="1"/>
  <c r="J11" i="1"/>
  <c r="I19" i="1"/>
  <c r="I22" i="1"/>
  <c r="I20" i="1"/>
  <c r="I21" i="1"/>
  <c r="I10" i="1"/>
  <c r="I13" i="1"/>
  <c r="I11" i="1"/>
  <c r="I12" i="1"/>
  <c r="I18" i="1"/>
  <c r="H10" i="1"/>
  <c r="H13" i="1"/>
  <c r="H11" i="1"/>
  <c r="H24" i="1" l="1"/>
  <c r="I24" i="1"/>
  <c r="H15" i="1"/>
  <c r="I15" i="1"/>
  <c r="J15" i="1"/>
  <c r="G24" i="1" l="1"/>
  <c r="F24" i="1"/>
  <c r="E24" i="1"/>
  <c r="C24" i="1"/>
  <c r="D24" i="1"/>
  <c r="B24" i="1"/>
  <c r="C15" i="1"/>
  <c r="D15" i="1"/>
  <c r="E15" i="1"/>
  <c r="F15" i="1"/>
  <c r="G15" i="1"/>
  <c r="B15" i="1"/>
  <c r="J41" i="1" l="1"/>
  <c r="J34" i="1" l="1"/>
  <c r="I34" i="1"/>
  <c r="H34" i="1"/>
  <c r="J31" i="1"/>
  <c r="I31" i="1"/>
  <c r="H31" i="1"/>
  <c r="H41" i="1" l="1"/>
  <c r="I41" i="1" l="1"/>
  <c r="J29" i="1" l="1"/>
  <c r="J17" i="1"/>
  <c r="J28" i="1"/>
  <c r="J8" i="1"/>
  <c r="I29" i="1" l="1"/>
  <c r="I17" i="1"/>
  <c r="I28" i="1"/>
  <c r="I8" i="1"/>
  <c r="H29" i="1" l="1"/>
  <c r="H17" i="1"/>
  <c r="H28" i="1"/>
  <c r="H35" i="1"/>
  <c r="I35" i="1"/>
  <c r="J35" i="1"/>
  <c r="H30" i="1"/>
  <c r="I30" i="1"/>
  <c r="J30" i="1"/>
  <c r="H27" i="1"/>
  <c r="I27" i="1"/>
  <c r="J27" i="1"/>
  <c r="H26" i="1"/>
  <c r="I26" i="1"/>
  <c r="J26" i="1"/>
  <c r="H8" i="1"/>
  <c r="F41" i="1" l="1"/>
  <c r="G19" i="1" l="1"/>
  <c r="G22" i="1"/>
  <c r="G20" i="1"/>
  <c r="G10" i="1"/>
  <c r="G13" i="1"/>
  <c r="G11" i="1"/>
  <c r="G12" i="1"/>
  <c r="F19" i="1"/>
  <c r="F22" i="1"/>
  <c r="F21" i="1"/>
  <c r="F20" i="1"/>
  <c r="F10" i="1"/>
  <c r="F13" i="1"/>
  <c r="F11" i="1"/>
  <c r="F18" i="1"/>
  <c r="E22" i="1"/>
  <c r="E20" i="1"/>
  <c r="E13" i="1"/>
  <c r="E12" i="1"/>
  <c r="E11" i="1"/>
  <c r="E34" i="1" l="1"/>
  <c r="F34" i="1"/>
  <c r="G34" i="1"/>
  <c r="G31" i="1"/>
  <c r="F31" i="1"/>
  <c r="E31" i="1"/>
  <c r="G41" i="1" l="1"/>
  <c r="E41" i="1" l="1"/>
  <c r="G29" i="1" l="1"/>
  <c r="G17" i="1"/>
  <c r="G28" i="1"/>
  <c r="G8" i="1"/>
  <c r="F29" i="1" l="1"/>
  <c r="F17" i="1"/>
  <c r="F28" i="1"/>
  <c r="F8" i="1"/>
  <c r="E29" i="1" l="1"/>
  <c r="E17" i="1"/>
  <c r="E28" i="1"/>
  <c r="E8" i="1"/>
  <c r="G35" i="1" l="1"/>
  <c r="E35" i="1" l="1"/>
  <c r="F35" i="1"/>
  <c r="E30" i="1"/>
  <c r="F30" i="1"/>
  <c r="G30" i="1"/>
  <c r="E27" i="1"/>
  <c r="F27" i="1"/>
  <c r="G27" i="1"/>
  <c r="E26" i="1"/>
  <c r="F26" i="1"/>
  <c r="G26" i="1"/>
  <c r="D13" i="1" l="1"/>
  <c r="D12" i="1"/>
  <c r="D11" i="1"/>
  <c r="C19" i="1"/>
  <c r="C22" i="1"/>
  <c r="C20" i="1"/>
  <c r="C10" i="1"/>
  <c r="C13" i="1"/>
  <c r="C11" i="1"/>
  <c r="B20" i="1"/>
  <c r="B10" i="1"/>
  <c r="B13" i="1"/>
  <c r="B11" i="1"/>
  <c r="C34" i="1" l="1"/>
  <c r="D34" i="1"/>
  <c r="B34" i="1"/>
  <c r="D31" i="1"/>
  <c r="C31" i="1"/>
  <c r="B31" i="1"/>
  <c r="D41" i="1" l="1"/>
  <c r="C41" i="1" l="1"/>
  <c r="B41" i="1" l="1"/>
  <c r="D28" i="1" l="1"/>
  <c r="C30" i="1" l="1"/>
  <c r="D30" i="1"/>
  <c r="B30" i="1"/>
  <c r="C28" i="1"/>
  <c r="D27" i="1"/>
  <c r="C27" i="1"/>
  <c r="D29" i="1" l="1"/>
  <c r="D17" i="1"/>
  <c r="D8" i="1"/>
  <c r="N45" i="1"/>
  <c r="C29" i="1" l="1"/>
  <c r="C17" i="1"/>
  <c r="C8" i="1"/>
  <c r="B29" i="1" l="1"/>
  <c r="B17" i="1"/>
  <c r="B28" i="1"/>
  <c r="B8" i="1"/>
  <c r="C35" i="1" l="1"/>
  <c r="D35" i="1"/>
  <c r="C26" i="1"/>
  <c r="D26" i="1"/>
  <c r="B35" i="1"/>
  <c r="B27" i="1"/>
  <c r="B26" i="1"/>
  <c r="N24" i="1" l="1"/>
  <c r="I7" i="1" l="1"/>
  <c r="N37" i="1" l="1"/>
  <c r="N38" i="1" l="1"/>
  <c r="J16" i="1" l="1"/>
  <c r="N15" i="1" l="1"/>
  <c r="N6" i="1" l="1"/>
  <c r="N5" i="1"/>
  <c r="N27" i="1"/>
  <c r="N26" i="1"/>
  <c r="N9" i="1"/>
  <c r="M16" i="1" l="1"/>
  <c r="N30" i="1"/>
  <c r="N31" i="1"/>
  <c r="N32" i="1"/>
  <c r="N33" i="1"/>
  <c r="N34" i="1"/>
  <c r="N35" i="1"/>
  <c r="N36" i="1"/>
  <c r="N39" i="1"/>
  <c r="N40" i="1"/>
  <c r="K16" i="1"/>
  <c r="L16" i="1"/>
  <c r="M42" i="1" l="1"/>
  <c r="M43" i="1" s="1"/>
  <c r="L42" i="1"/>
  <c r="L43" i="1" s="1"/>
  <c r="K42" i="1"/>
  <c r="K7" i="1"/>
  <c r="L7" i="1"/>
  <c r="M7" i="1"/>
  <c r="N14" i="1"/>
  <c r="K43" i="1" l="1"/>
  <c r="H16" i="1"/>
  <c r="I16" i="1"/>
  <c r="J42" i="1"/>
  <c r="J43" i="1" s="1"/>
  <c r="H7" i="1"/>
  <c r="J7" i="1"/>
  <c r="D7" i="1"/>
  <c r="C7" i="1"/>
  <c r="B7" i="1"/>
  <c r="G7" i="1"/>
  <c r="N28" i="1"/>
  <c r="N18" i="1"/>
  <c r="N17" i="1"/>
  <c r="N22" i="1"/>
  <c r="N21" i="1"/>
  <c r="N20" i="1"/>
  <c r="N8" i="1"/>
  <c r="N13" i="1"/>
  <c r="N12" i="1"/>
  <c r="N11" i="1"/>
  <c r="N10" i="1"/>
  <c r="D16" i="1"/>
  <c r="C16" i="1"/>
  <c r="B16" i="1"/>
  <c r="H42" i="1" l="1"/>
  <c r="H43" i="1" s="1"/>
  <c r="C42" i="1"/>
  <c r="C43" i="1" s="1"/>
  <c r="N41" i="1"/>
  <c r="N19" i="1"/>
  <c r="N23" i="1"/>
  <c r="N29" i="1"/>
  <c r="E7" i="1"/>
  <c r="F7" i="1"/>
  <c r="F16" i="1"/>
  <c r="G16" i="1"/>
  <c r="G42" i="1" s="1"/>
  <c r="G43" i="1" s="1"/>
  <c r="E16" i="1"/>
  <c r="I42" i="1"/>
  <c r="I43" i="1" s="1"/>
  <c r="B46" i="1"/>
  <c r="C6" i="1" s="1"/>
  <c r="N16" i="1" l="1"/>
  <c r="N7" i="1"/>
  <c r="C46" i="1"/>
  <c r="D6" i="1" s="1"/>
  <c r="E42" i="1"/>
  <c r="E43" i="1" s="1"/>
  <c r="F42" i="1"/>
  <c r="F43" i="1" s="1"/>
  <c r="B42" i="1"/>
  <c r="D42" i="1"/>
  <c r="D43" i="1" s="1"/>
  <c r="N46" i="1" l="1"/>
  <c r="D46" i="1"/>
  <c r="E6" i="1" s="1"/>
  <c r="E46" i="1" s="1"/>
  <c r="F6" i="1" s="1"/>
  <c r="F46" i="1" s="1"/>
  <c r="N42" i="1"/>
  <c r="N43" i="1" s="1"/>
  <c r="N44" i="1" s="1"/>
  <c r="B43" i="1"/>
  <c r="B44" i="1" s="1"/>
  <c r="G6" i="1" l="1"/>
  <c r="C44" i="1"/>
  <c r="C5" i="1"/>
  <c r="G46" i="1" l="1"/>
  <c r="H6" i="1" s="1"/>
  <c r="H46" i="1" s="1"/>
  <c r="I6" i="1" s="1"/>
  <c r="D5" i="1"/>
  <c r="D44" i="1"/>
  <c r="I46" i="1" l="1"/>
  <c r="J6" i="1" s="1"/>
  <c r="J46" i="1" s="1"/>
  <c r="K6" i="1" s="1"/>
  <c r="K46" i="1" s="1"/>
  <c r="E5" i="1"/>
  <c r="E44" i="1"/>
  <c r="L6" i="1" l="1"/>
  <c r="L46" i="1" s="1"/>
  <c r="F5" i="1"/>
  <c r="F44" i="1"/>
  <c r="G5" i="1" s="1"/>
  <c r="G44" i="1" s="1"/>
  <c r="M6" i="1" l="1"/>
  <c r="M46" i="1" s="1"/>
  <c r="H5" i="1"/>
  <c r="H44" i="1" s="1"/>
  <c r="I5" i="1" s="1"/>
  <c r="I44" i="1" s="1"/>
  <c r="J5" i="1" s="1"/>
  <c r="J44" i="1" s="1"/>
  <c r="K5" i="1" s="1"/>
  <c r="K44" i="1" s="1"/>
  <c r="L5" i="1" s="1"/>
  <c r="L44" i="1" s="1"/>
  <c r="M5" i="1" s="1"/>
  <c r="M44" i="1" s="1"/>
</calcChain>
</file>

<file path=xl/sharedStrings.xml><?xml version="1.0" encoding="utf-8"?>
<sst xmlns="http://schemas.openxmlformats.org/spreadsheetml/2006/main" count="57" uniqueCount="47">
  <si>
    <t>Наименование статей</t>
  </si>
  <si>
    <t>Аварийная служба</t>
  </si>
  <si>
    <t>ЕИРКЦ паспортная служба</t>
  </si>
  <si>
    <t>ЕИРКЦ услуги за начисление</t>
  </si>
  <si>
    <t>Система «Город» по приему платежей</t>
  </si>
  <si>
    <t>Экономия/перерасход (+,-)</t>
  </si>
  <si>
    <t>Услуги управляющей компании</t>
  </si>
  <si>
    <t>Накопительный счет</t>
  </si>
  <si>
    <t>Поступления за месяц, всего:</t>
  </si>
  <si>
    <t>Содержание и техобслуживание МКД</t>
  </si>
  <si>
    <t>Подрядные работы, текущий ремонт</t>
  </si>
  <si>
    <t>Задолженность по оплате (сальдо исходящее)</t>
  </si>
  <si>
    <t>Начисления за месяц, всего:</t>
  </si>
  <si>
    <t xml:space="preserve">Входящее сальдо по оплате на начало периода </t>
  </si>
  <si>
    <t>Тех.обслуживание газового оборудования</t>
  </si>
  <si>
    <t>Дополнительный доход (использование общего имущества)</t>
  </si>
  <si>
    <t>Средства на счете дома на начало периода</t>
  </si>
  <si>
    <t>Содержание жилья и текущий ремонт /нежилые</t>
  </si>
  <si>
    <t>ГВС на содержание ОИ</t>
  </si>
  <si>
    <t>ХВС на содержание ОИ</t>
  </si>
  <si>
    <t>Эл.энергия на содержание ОИ</t>
  </si>
  <si>
    <t>Расходы ГВС на содержание ОИ</t>
  </si>
  <si>
    <t>Расходы ХВС на содержание ОИ</t>
  </si>
  <si>
    <t>Расходы эл.энергия на содержание ОИ</t>
  </si>
  <si>
    <t>Итого расходы</t>
  </si>
  <si>
    <t>РАСХОДЫ</t>
  </si>
  <si>
    <t>Тех.обслуживание приборов учета</t>
  </si>
  <si>
    <t>Отведение сточных вод ОИ</t>
  </si>
  <si>
    <t>ЕИРКЦ (ведение счета по кап.ремонту)</t>
  </si>
  <si>
    <t>Содержание жилья и текущий ремонт,  ОПУ</t>
  </si>
  <si>
    <t>Вознаграждение совета МКД</t>
  </si>
  <si>
    <t>Налоги с вознаграждения совета МКД</t>
  </si>
  <si>
    <t>Январь 2025г.</t>
  </si>
  <si>
    <t>Февраль 2025г.</t>
  </si>
  <si>
    <t>Март 2025г.</t>
  </si>
  <si>
    <t>Апрель 2025г.</t>
  </si>
  <si>
    <t>Май 2025г.</t>
  </si>
  <si>
    <t>Июнь 2025г.</t>
  </si>
  <si>
    <t>Июль 2025г</t>
  </si>
  <si>
    <t>Август 2025г</t>
  </si>
  <si>
    <t>Сентябрь 2025г</t>
  </si>
  <si>
    <t>Октябрь 2025г</t>
  </si>
  <si>
    <t>Ноябрь 2025г.</t>
  </si>
  <si>
    <t>Декабрь 2025г.</t>
  </si>
  <si>
    <t>Всего:                       за  2025г</t>
  </si>
  <si>
    <t xml:space="preserve">Корректировка задолженности </t>
  </si>
  <si>
    <t xml:space="preserve">                 ОТЧЕТ по дому Васильева, 55 за период 01.01.2025г. по 31.12.2025г.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</si>
</sst>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8" x14ac:knownFonts="1">
    <font>
      <sz val="10"/>
      <name val="Arial Cyr"/>
      <charset val="204"/>
    </font>
    <font>
      <b/>
      <sz val="8"/>
      <name val="Times New Roman"/>
      <family val="1"/>
      <charset val="204"/>
    </font>
    <font>
      <b/>
      <sz val="16"/>
      <name val="Times New Roman"/>
      <family val="1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2"/>
      <name val="Times New Roman"/>
      <family val="1"/>
      <charset val="204"/>
    </font>
    <font>
      <sz val="16"/>
      <name val="Arial Cyr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4" fillId="0" borderId="0" xfId="0" applyFont="1"/>
    <xf numFmtId="0" fontId="0" fillId="0" borderId="0" xfId="0" applyBorder="1"/>
    <xf numFmtId="0" fontId="5" fillId="0" borderId="3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7" fillId="2" borderId="3" xfId="0" applyFont="1" applyFill="1" applyBorder="1" applyAlignment="1">
      <alignment vertical="top" wrapText="1"/>
    </xf>
    <xf numFmtId="164" fontId="7" fillId="2" borderId="4" xfId="0" applyNumberFormat="1" applyFont="1" applyFill="1" applyBorder="1" applyAlignment="1">
      <alignment horizontal="left" vertical="top" wrapText="1"/>
    </xf>
    <xf numFmtId="0" fontId="7" fillId="3" borderId="3" xfId="0" applyFont="1" applyFill="1" applyBorder="1" applyAlignment="1">
      <alignment vertical="top" wrapText="1"/>
    </xf>
    <xf numFmtId="164" fontId="7" fillId="3" borderId="4" xfId="0" applyNumberFormat="1" applyFont="1" applyFill="1" applyBorder="1" applyAlignment="1">
      <alignment horizontal="left" vertical="top" wrapText="1"/>
    </xf>
    <xf numFmtId="164" fontId="5" fillId="0" borderId="4" xfId="0" applyNumberFormat="1" applyFont="1" applyBorder="1" applyAlignment="1">
      <alignment horizontal="left" vertical="top" wrapText="1"/>
    </xf>
    <xf numFmtId="0" fontId="7" fillId="4" borderId="3" xfId="0" applyFont="1" applyFill="1" applyBorder="1" applyAlignment="1">
      <alignment vertical="top" wrapText="1"/>
    </xf>
    <xf numFmtId="164" fontId="7" fillId="4" borderId="4" xfId="0" applyNumberFormat="1" applyFont="1" applyFill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left" vertical="top" wrapText="1"/>
    </xf>
    <xf numFmtId="0" fontId="7" fillId="0" borderId="3" xfId="0" applyFont="1" applyBorder="1" applyAlignment="1">
      <alignment vertical="top" wrapText="1"/>
    </xf>
    <xf numFmtId="164" fontId="7" fillId="0" borderId="5" xfId="0" applyNumberFormat="1" applyFont="1" applyBorder="1" applyAlignment="1">
      <alignment horizontal="left" vertical="top" wrapText="1"/>
    </xf>
    <xf numFmtId="164" fontId="7" fillId="0" borderId="2" xfId="0" applyNumberFormat="1" applyFont="1" applyBorder="1" applyAlignment="1">
      <alignment horizontal="left" vertical="top" wrapText="1"/>
    </xf>
    <xf numFmtId="164" fontId="5" fillId="0" borderId="6" xfId="0" applyNumberFormat="1" applyFont="1" applyBorder="1" applyAlignment="1">
      <alignment horizontal="left" vertical="top" wrapText="1"/>
    </xf>
    <xf numFmtId="164" fontId="5" fillId="0" borderId="2" xfId="0" applyNumberFormat="1" applyFont="1" applyBorder="1" applyAlignment="1">
      <alignment horizontal="left" vertical="top" wrapText="1"/>
    </xf>
    <xf numFmtId="164" fontId="7" fillId="0" borderId="4" xfId="0" applyNumberFormat="1" applyFont="1" applyBorder="1" applyAlignment="1">
      <alignment horizontal="left" vertical="top" wrapText="1"/>
    </xf>
    <xf numFmtId="164" fontId="5" fillId="0" borderId="4" xfId="0" applyNumberFormat="1" applyFont="1" applyFill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0" fontId="6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6"/>
  <sheetViews>
    <sheetView tabSelected="1" topLeftCell="A28" zoomScale="75" workbookViewId="0">
      <selection activeCell="A28" sqref="A1:I1048576"/>
    </sheetView>
  </sheetViews>
  <sheetFormatPr defaultRowHeight="13.2" x14ac:dyDescent="0.25"/>
  <cols>
    <col min="1" max="1" width="58.6640625" customWidth="1"/>
    <col min="2" max="2" width="14.109375" customWidth="1"/>
    <col min="3" max="3" width="13.33203125" customWidth="1"/>
    <col min="4" max="5" width="13.44140625" customWidth="1"/>
    <col min="6" max="6" width="13.33203125" customWidth="1"/>
    <col min="7" max="7" width="13.88671875" customWidth="1"/>
    <col min="8" max="8" width="13.33203125" customWidth="1"/>
    <col min="9" max="9" width="13.5546875" customWidth="1"/>
    <col min="10" max="10" width="14.109375" customWidth="1"/>
    <col min="11" max="11" width="13.88671875" customWidth="1"/>
    <col min="12" max="12" width="14" customWidth="1"/>
    <col min="13" max="13" width="13.5546875" customWidth="1"/>
    <col min="14" max="14" width="15.6640625" customWidth="1"/>
  </cols>
  <sheetData>
    <row r="1" spans="1:18" ht="20.25" customHeight="1" x14ac:dyDescent="0.35">
      <c r="A1" s="22" t="s">
        <v>46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1:18" ht="7.5" customHeight="1" thickBot="1" x14ac:dyDescent="0.3">
      <c r="A2" s="1"/>
      <c r="R2" s="2"/>
    </row>
    <row r="3" spans="1:18" ht="3" hidden="1" customHeight="1" thickBot="1" x14ac:dyDescent="0.3">
      <c r="A3" s="1"/>
    </row>
    <row r="4" spans="1:18" ht="38.25" customHeight="1" thickBot="1" x14ac:dyDescent="0.3">
      <c r="A4" s="5" t="s">
        <v>0</v>
      </c>
      <c r="B4" s="6" t="s">
        <v>32</v>
      </c>
      <c r="C4" s="6" t="s">
        <v>33</v>
      </c>
      <c r="D4" s="6" t="s">
        <v>34</v>
      </c>
      <c r="E4" s="6" t="s">
        <v>35</v>
      </c>
      <c r="F4" s="6" t="s">
        <v>36</v>
      </c>
      <c r="G4" s="6" t="s">
        <v>37</v>
      </c>
      <c r="H4" s="6" t="s">
        <v>38</v>
      </c>
      <c r="I4" s="6" t="s">
        <v>39</v>
      </c>
      <c r="J4" s="6" t="s">
        <v>40</v>
      </c>
      <c r="K4" s="6" t="s">
        <v>41</v>
      </c>
      <c r="L4" s="6" t="s">
        <v>42</v>
      </c>
      <c r="M4" s="6" t="s">
        <v>43</v>
      </c>
      <c r="N4" s="6" t="s">
        <v>44</v>
      </c>
    </row>
    <row r="5" spans="1:18" ht="23.25" customHeight="1" thickBot="1" x14ac:dyDescent="0.3">
      <c r="A5" s="7" t="s">
        <v>16</v>
      </c>
      <c r="B5" s="8">
        <v>-457090.92</v>
      </c>
      <c r="C5" s="8">
        <f t="shared" ref="C5:D5" si="0">B44</f>
        <v>-470343.57133000001</v>
      </c>
      <c r="D5" s="8">
        <f t="shared" si="0"/>
        <v>-522397.65278999996</v>
      </c>
      <c r="E5" s="8">
        <f t="shared" ref="E5:G5" si="1">D44</f>
        <v>-792644.09779000003</v>
      </c>
      <c r="F5" s="8">
        <f t="shared" si="1"/>
        <v>-859250.66128999996</v>
      </c>
      <c r="G5" s="8">
        <f t="shared" si="1"/>
        <v>-845597.5713699999</v>
      </c>
      <c r="H5" s="8">
        <f t="shared" ref="H5" si="2">G44</f>
        <v>-874226.48806999985</v>
      </c>
      <c r="I5" s="8">
        <f t="shared" ref="I5" si="3">H44</f>
        <v>-809138.56724999985</v>
      </c>
      <c r="J5" s="8">
        <f t="shared" ref="J5" si="4">I44</f>
        <v>-924072.92710999982</v>
      </c>
      <c r="K5" s="8">
        <f t="shared" ref="K5" si="5">J44</f>
        <v>-904363.46220999979</v>
      </c>
      <c r="L5" s="8">
        <f t="shared" ref="L5" si="6">K44</f>
        <v>-907498.02640999982</v>
      </c>
      <c r="M5" s="8">
        <f t="shared" ref="M5" si="7">L44</f>
        <v>-869689.07584999979</v>
      </c>
      <c r="N5" s="8">
        <f>B5</f>
        <v>-457090.92</v>
      </c>
    </row>
    <row r="6" spans="1:18" ht="21" customHeight="1" thickBot="1" x14ac:dyDescent="0.3">
      <c r="A6" s="7" t="s">
        <v>13</v>
      </c>
      <c r="B6" s="8">
        <v>-492421.01</v>
      </c>
      <c r="C6" s="8">
        <f t="shared" ref="C6:M6" si="8">B46</f>
        <v>-511066.49000000005</v>
      </c>
      <c r="D6" s="8">
        <f t="shared" si="8"/>
        <v>-522608.37000000005</v>
      </c>
      <c r="E6" s="8">
        <f t="shared" si="8"/>
        <v>-497885.52000000008</v>
      </c>
      <c r="F6" s="8">
        <f t="shared" si="8"/>
        <v>-627104.12000000011</v>
      </c>
      <c r="G6" s="8">
        <f t="shared" si="8"/>
        <v>-593971.18000000017</v>
      </c>
      <c r="H6" s="8">
        <f t="shared" si="8"/>
        <v>-639065.87000000011</v>
      </c>
      <c r="I6" s="8">
        <f t="shared" si="8"/>
        <v>-572328.70000000019</v>
      </c>
      <c r="J6" s="8">
        <f t="shared" si="8"/>
        <v>-591135.65000000014</v>
      </c>
      <c r="K6" s="8">
        <f t="shared" si="8"/>
        <v>-563910.58000000007</v>
      </c>
      <c r="L6" s="8">
        <f t="shared" si="8"/>
        <v>-585704.69000000006</v>
      </c>
      <c r="M6" s="8">
        <f t="shared" si="8"/>
        <v>-559144.49</v>
      </c>
      <c r="N6" s="8">
        <f>B6</f>
        <v>-492421.01</v>
      </c>
    </row>
    <row r="7" spans="1:18" ht="20.25" customHeight="1" thickBot="1" x14ac:dyDescent="0.3">
      <c r="A7" s="9" t="s">
        <v>12</v>
      </c>
      <c r="B7" s="10">
        <f t="shared" ref="B7:M7" si="9">SUM(B8:B15)</f>
        <v>95587.090000000026</v>
      </c>
      <c r="C7" s="10">
        <f t="shared" si="9"/>
        <v>95769.480000000025</v>
      </c>
      <c r="D7" s="10">
        <f t="shared" si="9"/>
        <v>101817.72000000002</v>
      </c>
      <c r="E7" s="10">
        <f t="shared" si="9"/>
        <v>221582.21000000002</v>
      </c>
      <c r="F7" s="10">
        <f t="shared" si="9"/>
        <v>103531.32000000002</v>
      </c>
      <c r="G7" s="10">
        <f t="shared" si="9"/>
        <v>128441.61000000002</v>
      </c>
      <c r="H7" s="10">
        <f t="shared" si="9"/>
        <v>117230.23999999999</v>
      </c>
      <c r="I7" s="10">
        <f>SUM(I8:I15)</f>
        <v>124543.07</v>
      </c>
      <c r="J7" s="10">
        <f t="shared" si="9"/>
        <v>119621.28</v>
      </c>
      <c r="K7" s="10">
        <f t="shared" si="9"/>
        <v>124276.76999999999</v>
      </c>
      <c r="L7" s="10">
        <f t="shared" si="9"/>
        <v>136917.06</v>
      </c>
      <c r="M7" s="10">
        <f t="shared" si="9"/>
        <v>150369.09999999998</v>
      </c>
      <c r="N7" s="10">
        <f>SUM(B7:M7)</f>
        <v>1519686.9500000002</v>
      </c>
    </row>
    <row r="8" spans="1:18" ht="24.75" customHeight="1" thickBot="1" x14ac:dyDescent="0.3">
      <c r="A8" s="4" t="s">
        <v>29</v>
      </c>
      <c r="B8" s="11">
        <f>75881.32+1323.46</f>
        <v>77204.780000000013</v>
      </c>
      <c r="C8" s="11">
        <f>75881.32+1323.46</f>
        <v>77204.780000000013</v>
      </c>
      <c r="D8" s="11">
        <f>75881.32+1323.46</f>
        <v>77204.780000000013</v>
      </c>
      <c r="E8" s="11">
        <f>179057.38+1323.46</f>
        <v>180380.84</v>
      </c>
      <c r="F8" s="11">
        <f>78682.48+1323.46</f>
        <v>80005.94</v>
      </c>
      <c r="G8" s="11">
        <f>96943+1323.46</f>
        <v>98266.46</v>
      </c>
      <c r="H8" s="11">
        <f t="shared" ref="H8:M8" si="10">96945.75+1323.5</f>
        <v>98269.25</v>
      </c>
      <c r="I8" s="11">
        <f t="shared" si="10"/>
        <v>98269.25</v>
      </c>
      <c r="J8" s="11">
        <f t="shared" si="10"/>
        <v>98269.25</v>
      </c>
      <c r="K8" s="11">
        <f t="shared" si="10"/>
        <v>98269.25</v>
      </c>
      <c r="L8" s="11">
        <f t="shared" si="10"/>
        <v>98269.25</v>
      </c>
      <c r="M8" s="11">
        <f t="shared" si="10"/>
        <v>98269.25</v>
      </c>
      <c r="N8" s="11">
        <f t="shared" ref="N8:N15" si="11">SUM(B8:M8)</f>
        <v>1179883.08</v>
      </c>
    </row>
    <row r="9" spans="1:18" ht="24.75" customHeight="1" thickBot="1" x14ac:dyDescent="0.3">
      <c r="A9" s="4" t="s">
        <v>17</v>
      </c>
      <c r="B9" s="11">
        <v>2006.57</v>
      </c>
      <c r="C9" s="11">
        <v>2006.57</v>
      </c>
      <c r="D9" s="11">
        <v>2006.57</v>
      </c>
      <c r="E9" s="11">
        <v>2006.57</v>
      </c>
      <c r="F9" s="11">
        <v>2006.57</v>
      </c>
      <c r="G9" s="11">
        <v>2472.25</v>
      </c>
      <c r="H9" s="11">
        <v>2472.25</v>
      </c>
      <c r="I9" s="11">
        <v>2472.25</v>
      </c>
      <c r="J9" s="11">
        <v>2472.25</v>
      </c>
      <c r="K9" s="11">
        <v>2472.25</v>
      </c>
      <c r="L9" s="11">
        <v>2472.25</v>
      </c>
      <c r="M9" s="11">
        <v>2472.25</v>
      </c>
      <c r="N9" s="11">
        <f t="shared" si="11"/>
        <v>27338.6</v>
      </c>
    </row>
    <row r="10" spans="1:18" ht="24.75" customHeight="1" thickBot="1" x14ac:dyDescent="0.3">
      <c r="A10" s="4" t="s">
        <v>18</v>
      </c>
      <c r="B10" s="11">
        <f>5817.79+153.73</f>
        <v>5971.5199999999995</v>
      </c>
      <c r="C10" s="11">
        <f>5995.69+158.22</f>
        <v>6153.91</v>
      </c>
      <c r="D10" s="11">
        <v>7656.62</v>
      </c>
      <c r="E10" s="11">
        <v>12347.82</v>
      </c>
      <c r="F10" s="11">
        <f>10821.48+275.09</f>
        <v>11096.57</v>
      </c>
      <c r="G10" s="11">
        <f>10729.81+273.3</f>
        <v>11003.109999999999</v>
      </c>
      <c r="H10" s="11">
        <f>5839.86+149.23</f>
        <v>5989.0899999999992</v>
      </c>
      <c r="I10" s="11">
        <f>6898.71+176.2</f>
        <v>7074.91</v>
      </c>
      <c r="J10" s="11">
        <f>5168.91+132.15</f>
        <v>5301.0599999999995</v>
      </c>
      <c r="K10" s="11">
        <f>2947.52+75.52</f>
        <v>3023.04</v>
      </c>
      <c r="L10" s="11">
        <f>22733.6+578.96</f>
        <v>23312.559999999998</v>
      </c>
      <c r="M10" s="11">
        <f>32816.86+836.07</f>
        <v>33652.93</v>
      </c>
      <c r="N10" s="11">
        <f t="shared" si="11"/>
        <v>132583.13999999998</v>
      </c>
    </row>
    <row r="11" spans="1:18" ht="24.75" customHeight="1" thickBot="1" x14ac:dyDescent="0.3">
      <c r="A11" s="4" t="s">
        <v>19</v>
      </c>
      <c r="B11" s="11">
        <f>242.9+6.29</f>
        <v>249.19</v>
      </c>
      <c r="C11" s="11">
        <f>242.9+6.29</f>
        <v>249.19</v>
      </c>
      <c r="D11" s="11">
        <f>242.9+6.29</f>
        <v>249.19</v>
      </c>
      <c r="E11" s="11">
        <f>2239.44+6.29</f>
        <v>2245.73</v>
      </c>
      <c r="F11" s="11">
        <f>251.87+6.29</f>
        <v>258.16000000000003</v>
      </c>
      <c r="G11" s="11">
        <f>251.87+6.29</f>
        <v>258.16000000000003</v>
      </c>
      <c r="H11" s="11">
        <f>327.47+8.09</f>
        <v>335.56</v>
      </c>
      <c r="I11" s="11">
        <f>327.47+8.09</f>
        <v>335.56</v>
      </c>
      <c r="J11" s="11">
        <f>327.47+8.09</f>
        <v>335.56</v>
      </c>
      <c r="K11" s="11">
        <f>327.47+8.09</f>
        <v>335.56</v>
      </c>
      <c r="L11" s="11">
        <f>327.47+8.09</f>
        <v>335.56</v>
      </c>
      <c r="M11" s="11">
        <f>327.47+8.09</f>
        <v>335.56</v>
      </c>
      <c r="N11" s="11">
        <f t="shared" si="11"/>
        <v>5522.9800000000014</v>
      </c>
    </row>
    <row r="12" spans="1:18" ht="24.75" customHeight="1" thickBot="1" x14ac:dyDescent="0.3">
      <c r="A12" s="4" t="s">
        <v>20</v>
      </c>
      <c r="B12" s="11">
        <v>0</v>
      </c>
      <c r="C12" s="11">
        <v>0</v>
      </c>
      <c r="D12" s="11">
        <f>4428.66+116.87</f>
        <v>4545.53</v>
      </c>
      <c r="E12" s="11">
        <f>13229.92+257.11</f>
        <v>13487.03</v>
      </c>
      <c r="F12" s="11">
        <v>0</v>
      </c>
      <c r="G12" s="11">
        <f>6121.12+156.43</f>
        <v>6277.55</v>
      </c>
      <c r="H12" s="11">
        <v>0</v>
      </c>
      <c r="I12" s="11">
        <f>4437.81+113.27</f>
        <v>4551.0800000000008</v>
      </c>
      <c r="J12" s="11">
        <v>3051.8</v>
      </c>
      <c r="K12" s="11">
        <f>9931.79+253.52</f>
        <v>10185.310000000001</v>
      </c>
      <c r="L12" s="11">
        <v>0</v>
      </c>
      <c r="M12" s="11">
        <v>0</v>
      </c>
      <c r="N12" s="11">
        <f t="shared" si="11"/>
        <v>42098.3</v>
      </c>
    </row>
    <row r="13" spans="1:18" ht="24.75" customHeight="1" thickBot="1" x14ac:dyDescent="0.3">
      <c r="A13" s="4" t="s">
        <v>27</v>
      </c>
      <c r="B13" s="11">
        <f>245.18+6.29</f>
        <v>251.47</v>
      </c>
      <c r="C13" s="11">
        <f>245.18+6.29</f>
        <v>251.47</v>
      </c>
      <c r="D13" s="11">
        <f>245.18+6.29</f>
        <v>251.47</v>
      </c>
      <c r="E13" s="11">
        <f>1204.37+6.29</f>
        <v>1210.6599999999999</v>
      </c>
      <c r="F13" s="11">
        <f>254.23+6.29</f>
        <v>260.52</v>
      </c>
      <c r="G13" s="11">
        <f>254.23+6.29</f>
        <v>260.52</v>
      </c>
      <c r="H13" s="11">
        <f>254.24+6.29</f>
        <v>260.53000000000003</v>
      </c>
      <c r="I13" s="11">
        <f>1888.81+47.65</f>
        <v>1936.46</v>
      </c>
      <c r="J13" s="11">
        <f>280.61+7.19</f>
        <v>287.8</v>
      </c>
      <c r="K13" s="11">
        <f>280.61+7.19</f>
        <v>287.8</v>
      </c>
      <c r="L13" s="11">
        <f>2753.76+70.12</f>
        <v>2823.88</v>
      </c>
      <c r="M13" s="11">
        <f>5788.11+147.44</f>
        <v>5935.5499999999993</v>
      </c>
      <c r="N13" s="11">
        <f t="shared" si="11"/>
        <v>14018.130000000001</v>
      </c>
    </row>
    <row r="14" spans="1:18" ht="24.75" customHeight="1" thickBot="1" x14ac:dyDescent="0.3">
      <c r="A14" s="4" t="s">
        <v>30</v>
      </c>
      <c r="B14" s="11">
        <v>9333.56</v>
      </c>
      <c r="C14" s="11">
        <v>9333.56</v>
      </c>
      <c r="D14" s="11">
        <v>9333.56</v>
      </c>
      <c r="E14" s="11">
        <v>9333.56</v>
      </c>
      <c r="F14" s="11">
        <v>9333.56</v>
      </c>
      <c r="G14" s="11">
        <v>9333.56</v>
      </c>
      <c r="H14" s="11">
        <v>9333.56</v>
      </c>
      <c r="I14" s="11">
        <v>9333.56</v>
      </c>
      <c r="J14" s="11">
        <v>9333.56</v>
      </c>
      <c r="K14" s="11">
        <v>9333.56</v>
      </c>
      <c r="L14" s="11">
        <v>9333.56</v>
      </c>
      <c r="M14" s="11">
        <v>9333.56</v>
      </c>
      <c r="N14" s="11">
        <f t="shared" si="11"/>
        <v>112002.71999999999</v>
      </c>
    </row>
    <row r="15" spans="1:18" ht="24.75" customHeight="1" thickBot="1" x14ac:dyDescent="0.3">
      <c r="A15" s="4" t="s">
        <v>15</v>
      </c>
      <c r="B15" s="11">
        <f>870-300</f>
        <v>570</v>
      </c>
      <c r="C15" s="11">
        <f t="shared" ref="C15:J15" si="12">870-300</f>
        <v>570</v>
      </c>
      <c r="D15" s="11">
        <f t="shared" si="12"/>
        <v>570</v>
      </c>
      <c r="E15" s="11">
        <f t="shared" si="12"/>
        <v>570</v>
      </c>
      <c r="F15" s="11">
        <f t="shared" si="12"/>
        <v>570</v>
      </c>
      <c r="G15" s="11">
        <f t="shared" si="12"/>
        <v>570</v>
      </c>
      <c r="H15" s="11">
        <f t="shared" si="12"/>
        <v>570</v>
      </c>
      <c r="I15" s="11">
        <f t="shared" si="12"/>
        <v>570</v>
      </c>
      <c r="J15" s="11">
        <f t="shared" si="12"/>
        <v>570</v>
      </c>
      <c r="K15" s="11">
        <v>370</v>
      </c>
      <c r="L15" s="11">
        <v>370</v>
      </c>
      <c r="M15" s="11">
        <v>370</v>
      </c>
      <c r="N15" s="11">
        <f t="shared" si="11"/>
        <v>6240</v>
      </c>
    </row>
    <row r="16" spans="1:18" ht="20.25" customHeight="1" thickBot="1" x14ac:dyDescent="0.3">
      <c r="A16" s="12" t="s">
        <v>8</v>
      </c>
      <c r="B16" s="13">
        <f t="shared" ref="B16:M16" si="13">SUM(B17:B24)</f>
        <v>76941.61</v>
      </c>
      <c r="C16" s="13">
        <f t="shared" si="13"/>
        <v>84227.6</v>
      </c>
      <c r="D16" s="13">
        <f t="shared" si="13"/>
        <v>100716.86</v>
      </c>
      <c r="E16" s="13">
        <f t="shared" si="13"/>
        <v>92363.610000000015</v>
      </c>
      <c r="F16" s="13">
        <f t="shared" si="13"/>
        <v>136664.26</v>
      </c>
      <c r="G16" s="13">
        <f t="shared" si="13"/>
        <v>83346.920000000027</v>
      </c>
      <c r="H16" s="13">
        <f t="shared" si="13"/>
        <v>183967.40999999995</v>
      </c>
      <c r="I16" s="13">
        <f t="shared" si="13"/>
        <v>105736.12</v>
      </c>
      <c r="J16" s="13">
        <f t="shared" si="13"/>
        <v>146846.35000000003</v>
      </c>
      <c r="K16" s="13">
        <f t="shared" si="13"/>
        <v>102482.66000000002</v>
      </c>
      <c r="L16" s="13">
        <f t="shared" si="13"/>
        <v>163477.26000000004</v>
      </c>
      <c r="M16" s="13">
        <f t="shared" si="13"/>
        <v>135727.79999999999</v>
      </c>
      <c r="N16" s="13">
        <f>SUM(B16:M16)</f>
        <v>1412498.46</v>
      </c>
    </row>
    <row r="17" spans="1:15" ht="24" customHeight="1" thickBot="1" x14ac:dyDescent="0.3">
      <c r="A17" s="4" t="s">
        <v>29</v>
      </c>
      <c r="B17" s="11">
        <f>65238.24+1167.21</f>
        <v>66405.45</v>
      </c>
      <c r="C17" s="11">
        <f>67533.1+1263.65</f>
        <v>68796.75</v>
      </c>
      <c r="D17" s="11">
        <f>83113.12+1388.08</f>
        <v>84501.2</v>
      </c>
      <c r="E17" s="11">
        <f>73851.32+1338.31</f>
        <v>75189.63</v>
      </c>
      <c r="F17" s="11">
        <f>102738.53+1935.57</f>
        <v>104674.1</v>
      </c>
      <c r="G17" s="11">
        <f>68764.91+1237.61</f>
        <v>70002.52</v>
      </c>
      <c r="H17" s="11">
        <f>150985.96+1197.36</f>
        <v>152183.31999999998</v>
      </c>
      <c r="I17" s="11">
        <f>84369.44+1205.54</f>
        <v>85574.98</v>
      </c>
      <c r="J17" s="11">
        <f>119166.28+1391.53</f>
        <v>120557.81</v>
      </c>
      <c r="K17" s="11">
        <f>82663.92+1161.83</f>
        <v>83825.75</v>
      </c>
      <c r="L17" s="11">
        <f>139598.57+1458.14</f>
        <v>141056.71000000002</v>
      </c>
      <c r="M17" s="11">
        <f>97402.38+1283.96</f>
        <v>98686.340000000011</v>
      </c>
      <c r="N17" s="11">
        <f t="shared" ref="N17:N23" si="14">SUM(B17:M17)</f>
        <v>1151454.56</v>
      </c>
    </row>
    <row r="18" spans="1:15" ht="26.25" customHeight="1" thickBot="1" x14ac:dyDescent="0.3">
      <c r="A18" s="4" t="s">
        <v>17</v>
      </c>
      <c r="B18" s="11">
        <v>2006.57</v>
      </c>
      <c r="C18" s="11">
        <v>2006.57</v>
      </c>
      <c r="D18" s="11">
        <v>0</v>
      </c>
      <c r="E18" s="11">
        <v>2006.57</v>
      </c>
      <c r="F18" s="11">
        <f>2006.57*2</f>
        <v>4013.14</v>
      </c>
      <c r="G18" s="11">
        <v>2006.57</v>
      </c>
      <c r="H18" s="11">
        <v>0</v>
      </c>
      <c r="I18" s="11">
        <f>2472.25*2</f>
        <v>4944.5</v>
      </c>
      <c r="J18" s="11">
        <v>0</v>
      </c>
      <c r="K18" s="11">
        <v>2472.25</v>
      </c>
      <c r="L18" s="11">
        <v>0</v>
      </c>
      <c r="M18" s="11">
        <v>2472.25</v>
      </c>
      <c r="N18" s="11">
        <f t="shared" si="14"/>
        <v>21928.42</v>
      </c>
    </row>
    <row r="19" spans="1:15" ht="26.25" customHeight="1" thickBot="1" x14ac:dyDescent="0.3">
      <c r="A19" s="4" t="s">
        <v>18</v>
      </c>
      <c r="B19" s="11">
        <v>0.78</v>
      </c>
      <c r="C19" s="11">
        <f>3154.19+153.73</f>
        <v>3307.92</v>
      </c>
      <c r="D19" s="11">
        <v>5494.39</v>
      </c>
      <c r="E19" s="11">
        <v>0</v>
      </c>
      <c r="F19" s="11">
        <f>1053.75+202.28</f>
        <v>1256.03</v>
      </c>
      <c r="G19" s="11">
        <f>1281.26+275.09</f>
        <v>1556.35</v>
      </c>
      <c r="H19" s="11">
        <v>10424.06</v>
      </c>
      <c r="I19" s="11">
        <f>5203.89+273.3+149.23</f>
        <v>5626.42</v>
      </c>
      <c r="J19" s="11">
        <v>7517.21</v>
      </c>
      <c r="K19" s="11">
        <f>4461.71+176.2</f>
        <v>4637.91</v>
      </c>
      <c r="L19" s="11">
        <v>2967.42</v>
      </c>
      <c r="M19" s="11">
        <f>20446.14+132.15</f>
        <v>20578.29</v>
      </c>
      <c r="N19" s="11">
        <f t="shared" si="14"/>
        <v>63366.779999999992</v>
      </c>
    </row>
    <row r="20" spans="1:15" ht="26.25" customHeight="1" thickBot="1" x14ac:dyDescent="0.3">
      <c r="A20" s="4" t="s">
        <v>19</v>
      </c>
      <c r="B20" s="11">
        <f>208.83+6.29</f>
        <v>215.12</v>
      </c>
      <c r="C20" s="11">
        <f>221.12+6.29</f>
        <v>227.41</v>
      </c>
      <c r="D20" s="11">
        <v>329.03</v>
      </c>
      <c r="E20" s="11">
        <f>235.52+6.29</f>
        <v>241.81</v>
      </c>
      <c r="F20" s="11">
        <f>1049.62+6.29*2</f>
        <v>1062.1999999999998</v>
      </c>
      <c r="G20" s="11">
        <f>220.12+6.29</f>
        <v>226.41</v>
      </c>
      <c r="H20" s="11">
        <v>1493.83</v>
      </c>
      <c r="I20" s="11">
        <f>282.27+6.29+8.09</f>
        <v>296.64999999999998</v>
      </c>
      <c r="J20" s="11">
        <v>766.47</v>
      </c>
      <c r="K20" s="11">
        <f>278.48+8.09</f>
        <v>286.57</v>
      </c>
      <c r="L20" s="11">
        <v>301.42</v>
      </c>
      <c r="M20" s="11">
        <f>327.6+8.09</f>
        <v>335.69</v>
      </c>
      <c r="N20" s="11">
        <f t="shared" si="14"/>
        <v>5782.6099999999988</v>
      </c>
    </row>
    <row r="21" spans="1:15" ht="26.25" customHeight="1" thickBot="1" x14ac:dyDescent="0.3">
      <c r="A21" s="4" t="s">
        <v>20</v>
      </c>
      <c r="B21" s="11">
        <v>85.78</v>
      </c>
      <c r="C21" s="11">
        <v>54.05</v>
      </c>
      <c r="D21" s="11">
        <v>297.95</v>
      </c>
      <c r="E21" s="11">
        <v>3918.2</v>
      </c>
      <c r="F21" s="11">
        <f>10420.48+116.87+257.11</f>
        <v>10794.460000000001</v>
      </c>
      <c r="G21" s="11">
        <v>377.19</v>
      </c>
      <c r="H21" s="11">
        <v>7337.49</v>
      </c>
      <c r="I21" s="11">
        <f>206.98+156.43</f>
        <v>363.40999999999997</v>
      </c>
      <c r="J21" s="11">
        <v>4952.53</v>
      </c>
      <c r="K21" s="11">
        <f>2554.33+113.27</f>
        <v>2667.6</v>
      </c>
      <c r="L21" s="11">
        <v>8503.68</v>
      </c>
      <c r="M21" s="11">
        <v>752.14</v>
      </c>
      <c r="N21" s="11">
        <f t="shared" si="14"/>
        <v>40104.479999999996</v>
      </c>
    </row>
    <row r="22" spans="1:15" ht="26.25" customHeight="1" thickBot="1" x14ac:dyDescent="0.3">
      <c r="A22" s="4" t="s">
        <v>27</v>
      </c>
      <c r="B22" s="11">
        <v>0</v>
      </c>
      <c r="C22" s="11">
        <f>0+6.29</f>
        <v>6.29</v>
      </c>
      <c r="D22" s="11">
        <v>67.63</v>
      </c>
      <c r="E22" s="11">
        <f>25.79+6.29</f>
        <v>32.08</v>
      </c>
      <c r="F22" s="11">
        <f>391.71+6.29*2</f>
        <v>404.28999999999996</v>
      </c>
      <c r="G22" s="11">
        <f>6.46+6.29</f>
        <v>12.75</v>
      </c>
      <c r="H22" s="11">
        <v>579.77</v>
      </c>
      <c r="I22" s="11">
        <f>20.64+6.29*2</f>
        <v>33.22</v>
      </c>
      <c r="J22" s="11">
        <v>1813.76</v>
      </c>
      <c r="K22" s="11">
        <f>262.42+47.65</f>
        <v>310.07</v>
      </c>
      <c r="L22" s="11">
        <v>277.61</v>
      </c>
      <c r="M22" s="11">
        <f>2484.21+7.19</f>
        <v>2491.4</v>
      </c>
      <c r="N22" s="11">
        <f t="shared" si="14"/>
        <v>6028.8700000000008</v>
      </c>
    </row>
    <row r="23" spans="1:15" ht="26.25" customHeight="1" thickBot="1" x14ac:dyDescent="0.3">
      <c r="A23" s="4" t="s">
        <v>30</v>
      </c>
      <c r="B23" s="11">
        <v>7927.91</v>
      </c>
      <c r="C23" s="11">
        <v>9528.61</v>
      </c>
      <c r="D23" s="11">
        <v>9726.66</v>
      </c>
      <c r="E23" s="11">
        <v>9555.32</v>
      </c>
      <c r="F23" s="11">
        <v>14160.04</v>
      </c>
      <c r="G23" s="11">
        <v>8865.1299999999992</v>
      </c>
      <c r="H23" s="11">
        <v>11648.94</v>
      </c>
      <c r="I23" s="11">
        <v>8596.94</v>
      </c>
      <c r="J23" s="11">
        <v>9538.57</v>
      </c>
      <c r="K23" s="11">
        <v>7982.51</v>
      </c>
      <c r="L23" s="11">
        <v>10070.42</v>
      </c>
      <c r="M23" s="11">
        <v>9411.69</v>
      </c>
      <c r="N23" s="11">
        <f t="shared" si="14"/>
        <v>117012.73999999999</v>
      </c>
    </row>
    <row r="24" spans="1:15" ht="26.25" customHeight="1" thickBot="1" x14ac:dyDescent="0.3">
      <c r="A24" s="4" t="s">
        <v>15</v>
      </c>
      <c r="B24" s="14">
        <f>600-300</f>
        <v>300</v>
      </c>
      <c r="C24" s="14">
        <f t="shared" ref="C24:D24" si="15">600-300</f>
        <v>300</v>
      </c>
      <c r="D24" s="14">
        <f t="shared" si="15"/>
        <v>300</v>
      </c>
      <c r="E24" s="14">
        <f>1720-300</f>
        <v>1420</v>
      </c>
      <c r="F24" s="14">
        <f>600-300</f>
        <v>300</v>
      </c>
      <c r="G24" s="14">
        <f>600-300</f>
        <v>300</v>
      </c>
      <c r="H24" s="14">
        <f t="shared" ref="H24:I24" si="16">600-300</f>
        <v>300</v>
      </c>
      <c r="I24" s="14">
        <f t="shared" si="16"/>
        <v>300</v>
      </c>
      <c r="J24" s="14">
        <v>1700</v>
      </c>
      <c r="K24" s="11">
        <v>300</v>
      </c>
      <c r="L24" s="11">
        <v>300</v>
      </c>
      <c r="M24" s="11">
        <v>1000</v>
      </c>
      <c r="N24" s="11">
        <f>SUM(B24:M24)</f>
        <v>6820</v>
      </c>
      <c r="O24" s="3"/>
    </row>
    <row r="25" spans="1:15" ht="21.75" customHeight="1" thickBot="1" x14ac:dyDescent="0.3">
      <c r="A25" s="15" t="s">
        <v>25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7"/>
    </row>
    <row r="26" spans="1:15" ht="19.5" customHeight="1" thickBot="1" x14ac:dyDescent="0.3">
      <c r="A26" s="4" t="s">
        <v>1</v>
      </c>
      <c r="B26" s="11">
        <f t="shared" ref="B26:M26" si="17">3615.1*0.6</f>
        <v>2169.06</v>
      </c>
      <c r="C26" s="11">
        <f t="shared" si="17"/>
        <v>2169.06</v>
      </c>
      <c r="D26" s="11">
        <f t="shared" si="17"/>
        <v>2169.06</v>
      </c>
      <c r="E26" s="11">
        <f t="shared" si="17"/>
        <v>2169.06</v>
      </c>
      <c r="F26" s="11">
        <f t="shared" si="17"/>
        <v>2169.06</v>
      </c>
      <c r="G26" s="11">
        <f t="shared" si="17"/>
        <v>2169.06</v>
      </c>
      <c r="H26" s="11">
        <f t="shared" si="17"/>
        <v>2169.06</v>
      </c>
      <c r="I26" s="11">
        <f t="shared" si="17"/>
        <v>2169.06</v>
      </c>
      <c r="J26" s="11">
        <f t="shared" si="17"/>
        <v>2169.06</v>
      </c>
      <c r="K26" s="11">
        <f t="shared" si="17"/>
        <v>2169.06</v>
      </c>
      <c r="L26" s="11">
        <f t="shared" si="17"/>
        <v>2169.06</v>
      </c>
      <c r="M26" s="11">
        <f t="shared" si="17"/>
        <v>2169.06</v>
      </c>
      <c r="N26" s="11">
        <f>SUM(B26:M26)</f>
        <v>26028.720000000005</v>
      </c>
    </row>
    <row r="27" spans="1:15" ht="22.5" customHeight="1" thickBot="1" x14ac:dyDescent="0.3">
      <c r="A27" s="4" t="s">
        <v>2</v>
      </c>
      <c r="B27" s="11">
        <f t="shared" ref="B27" si="18">3615.1*0.17</f>
        <v>614.56700000000001</v>
      </c>
      <c r="C27" s="11">
        <f>3615.1*0.2</f>
        <v>723.02</v>
      </c>
      <c r="D27" s="11">
        <f>3615.1*0.2</f>
        <v>723.02</v>
      </c>
      <c r="E27" s="11">
        <f t="shared" ref="E27:M27" si="19">3615.1*0.2</f>
        <v>723.02</v>
      </c>
      <c r="F27" s="11">
        <f t="shared" si="19"/>
        <v>723.02</v>
      </c>
      <c r="G27" s="11">
        <f t="shared" si="19"/>
        <v>723.02</v>
      </c>
      <c r="H27" s="11">
        <f t="shared" si="19"/>
        <v>723.02</v>
      </c>
      <c r="I27" s="11">
        <f t="shared" si="19"/>
        <v>723.02</v>
      </c>
      <c r="J27" s="11">
        <f t="shared" si="19"/>
        <v>723.02</v>
      </c>
      <c r="K27" s="11">
        <f t="shared" si="19"/>
        <v>723.02</v>
      </c>
      <c r="L27" s="11">
        <f t="shared" si="19"/>
        <v>723.02</v>
      </c>
      <c r="M27" s="11">
        <f t="shared" si="19"/>
        <v>723.02</v>
      </c>
      <c r="N27" s="11">
        <f>SUM(B27:M27)</f>
        <v>8567.7870000000021</v>
      </c>
    </row>
    <row r="28" spans="1:15" ht="21" customHeight="1" thickBot="1" x14ac:dyDescent="0.3">
      <c r="A28" s="4" t="s">
        <v>3</v>
      </c>
      <c r="B28" s="11">
        <f>92844.21*2.3%</f>
        <v>2135.4168300000001</v>
      </c>
      <c r="C28" s="11">
        <f>93022.11*2.6%</f>
        <v>2418.5748600000002</v>
      </c>
      <c r="D28" s="11">
        <f>99111.7*2.6%</f>
        <v>2576.9041999999999</v>
      </c>
      <c r="E28" s="11">
        <f>218735.95*2.6%</f>
        <v>5687.1347000000005</v>
      </c>
      <c r="F28" s="11">
        <f>100667.08*2.6%</f>
        <v>2617.3440800000003</v>
      </c>
      <c r="G28" s="11">
        <f>124957.05*2.6%</f>
        <v>3248.8833000000004</v>
      </c>
      <c r="H28" s="11">
        <f>114024.38*2.6%</f>
        <v>2964.6338800000003</v>
      </c>
      <c r="I28" s="11">
        <f>121155.61*2.6%</f>
        <v>3150.0458600000002</v>
      </c>
      <c r="J28" s="11">
        <f>116431.6*2.6%</f>
        <v>3027.2216000000003</v>
      </c>
      <c r="K28" s="11">
        <f>121090.2*2.6%</f>
        <v>3148.3452000000002</v>
      </c>
      <c r="L28" s="11">
        <f>133417.64*2.6%</f>
        <v>3468.8586400000008</v>
      </c>
      <c r="M28" s="11">
        <f>146535.25*2.6%</f>
        <v>3809.9165000000003</v>
      </c>
      <c r="N28" s="11">
        <f t="shared" ref="N28:N41" si="20">SUM(B28:M28)</f>
        <v>38253.279650000004</v>
      </c>
    </row>
    <row r="29" spans="1:15" ht="23.25" customHeight="1" thickBot="1" x14ac:dyDescent="0.3">
      <c r="A29" s="4" t="s">
        <v>4</v>
      </c>
      <c r="B29" s="11">
        <f>74628.75*3%</f>
        <v>2238.8624999999997</v>
      </c>
      <c r="C29" s="11">
        <f>81754.72*3%</f>
        <v>2452.6415999999999</v>
      </c>
      <c r="D29" s="11">
        <f>100416.86*3%</f>
        <v>3012.5057999999999</v>
      </c>
      <c r="E29" s="11">
        <f>88924.46*3%</f>
        <v>2667.7338</v>
      </c>
      <c r="F29" s="11">
        <f>131749.7*3%</f>
        <v>3952.491</v>
      </c>
      <c r="G29" s="11">
        <f>80752.68*3%</f>
        <v>2422.5803999999998</v>
      </c>
      <c r="H29" s="11">
        <f>183667.41*3%</f>
        <v>5510.0222999999996</v>
      </c>
      <c r="I29" s="11">
        <f>99885.7*3%</f>
        <v>2996.5709999999999</v>
      </c>
      <c r="J29" s="11">
        <f>145146.35*3%</f>
        <v>4354.3905000000004</v>
      </c>
      <c r="K29" s="11">
        <f>99365.2*3%</f>
        <v>2980.9559999999997</v>
      </c>
      <c r="L29" s="11">
        <f>163177.26*3%</f>
        <v>4895.3177999999998</v>
      </c>
      <c r="M29" s="11">
        <f>132108.12*3%</f>
        <v>3963.2435999999998</v>
      </c>
      <c r="N29" s="11">
        <f t="shared" si="20"/>
        <v>41447.316299999999</v>
      </c>
    </row>
    <row r="30" spans="1:15" ht="23.25" customHeight="1" thickBot="1" x14ac:dyDescent="0.3">
      <c r="A30" s="4" t="s">
        <v>9</v>
      </c>
      <c r="B30" s="21">
        <f>3615.1*12</f>
        <v>43381.2</v>
      </c>
      <c r="C30" s="21">
        <f t="shared" ref="C30:M30" si="21">3615.1*12</f>
        <v>43381.2</v>
      </c>
      <c r="D30" s="21">
        <f t="shared" si="21"/>
        <v>43381.2</v>
      </c>
      <c r="E30" s="21">
        <f t="shared" si="21"/>
        <v>43381.2</v>
      </c>
      <c r="F30" s="21">
        <f t="shared" si="21"/>
        <v>43381.2</v>
      </c>
      <c r="G30" s="21">
        <f t="shared" si="21"/>
        <v>43381.2</v>
      </c>
      <c r="H30" s="21">
        <f t="shared" si="21"/>
        <v>43381.2</v>
      </c>
      <c r="I30" s="21">
        <f t="shared" si="21"/>
        <v>43381.2</v>
      </c>
      <c r="J30" s="21">
        <f t="shared" si="21"/>
        <v>43381.2</v>
      </c>
      <c r="K30" s="21">
        <f t="shared" si="21"/>
        <v>43381.2</v>
      </c>
      <c r="L30" s="21">
        <f t="shared" si="21"/>
        <v>43381.2</v>
      </c>
      <c r="M30" s="21">
        <f t="shared" si="21"/>
        <v>43381.2</v>
      </c>
      <c r="N30" s="11">
        <f t="shared" si="20"/>
        <v>520574.40000000008</v>
      </c>
    </row>
    <row r="31" spans="1:15" ht="26.25" customHeight="1" thickBot="1" x14ac:dyDescent="0.3">
      <c r="A31" s="4" t="s">
        <v>21</v>
      </c>
      <c r="B31" s="11">
        <f>5704.56+671.02</f>
        <v>6375.58</v>
      </c>
      <c r="C31" s="11">
        <f>7284.9+856.95</f>
        <v>8141.8499999999995</v>
      </c>
      <c r="D31" s="11">
        <f>8478.71+997.35</f>
        <v>9476.06</v>
      </c>
      <c r="E31" s="11">
        <f>9929.36+1168</f>
        <v>11097.36</v>
      </c>
      <c r="F31" s="11">
        <f>9845.37+1158.12</f>
        <v>11003.490000000002</v>
      </c>
      <c r="G31" s="11">
        <f>5358.36+630.31</f>
        <v>5988.67</v>
      </c>
      <c r="H31" s="11">
        <f>6380.35+694.34</f>
        <v>7074.6900000000005</v>
      </c>
      <c r="I31" s="11">
        <f>4780.52+520.28</f>
        <v>5300.8</v>
      </c>
      <c r="J31" s="11">
        <f>2725.98+296.65</f>
        <v>3022.63</v>
      </c>
      <c r="K31" s="11">
        <f>21025.25+2288.11</f>
        <v>23313.360000000001</v>
      </c>
      <c r="L31" s="11">
        <f>30350.62+3302.98</f>
        <v>33653.599999999999</v>
      </c>
      <c r="M31" s="11">
        <f>1145.11+124.6</f>
        <v>1269.7099999999998</v>
      </c>
      <c r="N31" s="11">
        <f t="shared" si="20"/>
        <v>125717.8</v>
      </c>
    </row>
    <row r="32" spans="1:15" ht="26.25" customHeight="1" thickBot="1" x14ac:dyDescent="0.3">
      <c r="A32" s="4" t="s">
        <v>22</v>
      </c>
      <c r="B32" s="11">
        <v>387.65</v>
      </c>
      <c r="C32" s="11">
        <v>387.65</v>
      </c>
      <c r="D32" s="11">
        <v>387.65</v>
      </c>
      <c r="E32" s="11">
        <v>387.65</v>
      </c>
      <c r="F32" s="11">
        <v>387.65</v>
      </c>
      <c r="G32" s="11">
        <v>387.65</v>
      </c>
      <c r="H32" s="11">
        <v>503.96</v>
      </c>
      <c r="I32" s="11">
        <v>503.96</v>
      </c>
      <c r="J32" s="11">
        <v>503.96</v>
      </c>
      <c r="K32" s="11">
        <v>503.96</v>
      </c>
      <c r="L32" s="11">
        <v>503.96</v>
      </c>
      <c r="M32" s="11">
        <v>503.96</v>
      </c>
      <c r="N32" s="11">
        <f t="shared" si="20"/>
        <v>5349.66</v>
      </c>
    </row>
    <row r="33" spans="1:14" ht="26.25" customHeight="1" thickBot="1" x14ac:dyDescent="0.3">
      <c r="A33" s="4" t="s">
        <v>23</v>
      </c>
      <c r="B33" s="11">
        <v>0</v>
      </c>
      <c r="C33" s="11">
        <v>4709.32</v>
      </c>
      <c r="D33" s="11">
        <v>10352.719999999999</v>
      </c>
      <c r="E33" s="11">
        <v>0</v>
      </c>
      <c r="F33" s="11">
        <v>6277.24</v>
      </c>
      <c r="G33" s="11">
        <v>0</v>
      </c>
      <c r="H33" s="11">
        <v>4551.0200000000004</v>
      </c>
      <c r="I33" s="11">
        <v>0</v>
      </c>
      <c r="J33" s="11">
        <v>10185.02</v>
      </c>
      <c r="K33" s="11">
        <v>0</v>
      </c>
      <c r="L33" s="11">
        <v>0</v>
      </c>
      <c r="M33" s="11">
        <v>0</v>
      </c>
      <c r="N33" s="11">
        <f t="shared" si="20"/>
        <v>36075.32</v>
      </c>
    </row>
    <row r="34" spans="1:14" ht="21.6" customHeight="1" thickBot="1" x14ac:dyDescent="0.3">
      <c r="A34" s="4" t="s">
        <v>27</v>
      </c>
      <c r="B34" s="11">
        <f>260.75+0</f>
        <v>260.75</v>
      </c>
      <c r="C34" s="11">
        <f t="shared" ref="C34:G34" si="22">260.75+0</f>
        <v>260.75</v>
      </c>
      <c r="D34" s="11">
        <f t="shared" si="22"/>
        <v>260.75</v>
      </c>
      <c r="E34" s="11">
        <f t="shared" si="22"/>
        <v>260.75</v>
      </c>
      <c r="F34" s="11">
        <f t="shared" si="22"/>
        <v>260.75</v>
      </c>
      <c r="G34" s="11">
        <f t="shared" si="22"/>
        <v>260.75</v>
      </c>
      <c r="H34" s="11">
        <f>287.76+1649.21</f>
        <v>1936.97</v>
      </c>
      <c r="I34" s="11">
        <f>287.76+0</f>
        <v>287.76</v>
      </c>
      <c r="J34" s="11">
        <f>287.76+0</f>
        <v>287.76</v>
      </c>
      <c r="K34" s="11">
        <f>287.76+2536.21</f>
        <v>2823.9700000000003</v>
      </c>
      <c r="L34" s="11">
        <f>287.76+5647.94</f>
        <v>5935.7</v>
      </c>
      <c r="M34" s="11">
        <f>287.76+130.99</f>
        <v>418.75</v>
      </c>
      <c r="N34" s="11">
        <f t="shared" si="20"/>
        <v>13255.41</v>
      </c>
    </row>
    <row r="35" spans="1:14" ht="22.5" customHeight="1" thickBot="1" x14ac:dyDescent="0.3">
      <c r="A35" s="4" t="s">
        <v>6</v>
      </c>
      <c r="B35" s="21">
        <f t="shared" ref="B35:F35" si="23">3615.1*3.35</f>
        <v>12110.584999999999</v>
      </c>
      <c r="C35" s="21">
        <f t="shared" si="23"/>
        <v>12110.584999999999</v>
      </c>
      <c r="D35" s="21">
        <f t="shared" si="23"/>
        <v>12110.584999999999</v>
      </c>
      <c r="E35" s="21">
        <f t="shared" si="23"/>
        <v>12110.584999999999</v>
      </c>
      <c r="F35" s="21">
        <f t="shared" si="23"/>
        <v>12110.584999999999</v>
      </c>
      <c r="G35" s="21">
        <f>3615.1*4.13</f>
        <v>14930.362999999999</v>
      </c>
      <c r="H35" s="21">
        <f t="shared" ref="H35:M35" si="24">3615.1*4.13</f>
        <v>14930.362999999999</v>
      </c>
      <c r="I35" s="21">
        <f t="shared" si="24"/>
        <v>14930.362999999999</v>
      </c>
      <c r="J35" s="21">
        <f t="shared" si="24"/>
        <v>14930.362999999999</v>
      </c>
      <c r="K35" s="21">
        <f t="shared" si="24"/>
        <v>14930.362999999999</v>
      </c>
      <c r="L35" s="21">
        <f t="shared" si="24"/>
        <v>14930.362999999999</v>
      </c>
      <c r="M35" s="21">
        <f t="shared" si="24"/>
        <v>14930.362999999999</v>
      </c>
      <c r="N35" s="11">
        <f t="shared" si="20"/>
        <v>165065.46600000001</v>
      </c>
    </row>
    <row r="36" spans="1:14" ht="21.75" customHeight="1" thickBot="1" x14ac:dyDescent="0.3">
      <c r="A36" s="4" t="s">
        <v>30</v>
      </c>
      <c r="B36" s="11">
        <v>7530.11</v>
      </c>
      <c r="C36" s="11">
        <v>6896.91</v>
      </c>
      <c r="D36" s="11">
        <v>8289.61</v>
      </c>
      <c r="E36" s="11">
        <v>8462.66</v>
      </c>
      <c r="F36" s="11">
        <v>8313.32</v>
      </c>
      <c r="G36" s="11">
        <v>12319.04</v>
      </c>
      <c r="H36" s="11">
        <v>7712.13</v>
      </c>
      <c r="I36" s="11">
        <v>10134.94</v>
      </c>
      <c r="J36" s="11">
        <v>7478.94</v>
      </c>
      <c r="K36" s="11">
        <v>8298.57</v>
      </c>
      <c r="L36" s="11">
        <v>6944.51</v>
      </c>
      <c r="M36" s="11">
        <v>8761.42</v>
      </c>
      <c r="N36" s="11">
        <f t="shared" si="20"/>
        <v>101142.16</v>
      </c>
    </row>
    <row r="37" spans="1:14" ht="21.75" customHeight="1" thickBot="1" x14ac:dyDescent="0.3">
      <c r="A37" s="4" t="s">
        <v>31</v>
      </c>
      <c r="B37" s="11">
        <v>1125</v>
      </c>
      <c r="C37" s="11">
        <v>1031</v>
      </c>
      <c r="D37" s="11">
        <v>1239</v>
      </c>
      <c r="E37" s="11">
        <v>1264</v>
      </c>
      <c r="F37" s="11">
        <v>1242</v>
      </c>
      <c r="G37" s="11">
        <v>1841</v>
      </c>
      <c r="H37" s="11">
        <v>1153</v>
      </c>
      <c r="I37" s="11">
        <v>1514</v>
      </c>
      <c r="J37" s="11">
        <v>1118</v>
      </c>
      <c r="K37" s="11">
        <v>1240</v>
      </c>
      <c r="L37" s="11">
        <v>1038</v>
      </c>
      <c r="M37" s="11">
        <v>1309</v>
      </c>
      <c r="N37" s="11">
        <f t="shared" si="20"/>
        <v>15114</v>
      </c>
    </row>
    <row r="38" spans="1:14" ht="22.95" customHeight="1" thickBot="1" x14ac:dyDescent="0.3">
      <c r="A38" s="4" t="s">
        <v>28</v>
      </c>
      <c r="B38" s="11">
        <v>976.88</v>
      </c>
      <c r="C38" s="11">
        <v>1104.42</v>
      </c>
      <c r="D38" s="11">
        <v>1104.42</v>
      </c>
      <c r="E38" s="11">
        <v>1104.42</v>
      </c>
      <c r="F38" s="11">
        <v>1104.42</v>
      </c>
      <c r="G38" s="11">
        <v>1104.42</v>
      </c>
      <c r="H38" s="11">
        <v>1104.42</v>
      </c>
      <c r="I38" s="11">
        <v>1104.42</v>
      </c>
      <c r="J38" s="11">
        <v>1104.42</v>
      </c>
      <c r="K38" s="11">
        <v>1104.42</v>
      </c>
      <c r="L38" s="11">
        <v>1104.42</v>
      </c>
      <c r="M38" s="11">
        <v>1104.42</v>
      </c>
      <c r="N38" s="11">
        <f t="shared" si="20"/>
        <v>13125.5</v>
      </c>
    </row>
    <row r="39" spans="1:14" ht="24.75" customHeight="1" thickBot="1" x14ac:dyDescent="0.3">
      <c r="A39" s="4" t="s">
        <v>26</v>
      </c>
      <c r="B39" s="11">
        <v>1000</v>
      </c>
      <c r="C39" s="11">
        <v>1000</v>
      </c>
      <c r="D39" s="11">
        <v>1000</v>
      </c>
      <c r="E39" s="11">
        <v>1000</v>
      </c>
      <c r="F39" s="11">
        <v>1000</v>
      </c>
      <c r="G39" s="11">
        <v>1000</v>
      </c>
      <c r="H39" s="11">
        <v>1000</v>
      </c>
      <c r="I39" s="11">
        <v>1000</v>
      </c>
      <c r="J39" s="11">
        <v>1000</v>
      </c>
      <c r="K39" s="11">
        <v>1000</v>
      </c>
      <c r="L39" s="11">
        <v>1000</v>
      </c>
      <c r="M39" s="11">
        <v>1000</v>
      </c>
      <c r="N39" s="11">
        <f t="shared" si="20"/>
        <v>12000</v>
      </c>
    </row>
    <row r="40" spans="1:14" ht="24.75" customHeight="1" thickBot="1" x14ac:dyDescent="0.3">
      <c r="A40" s="4" t="s">
        <v>14</v>
      </c>
      <c r="B40" s="11">
        <v>0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20277.599999999999</v>
      </c>
      <c r="J40" s="11">
        <v>0</v>
      </c>
      <c r="K40" s="11">
        <v>0</v>
      </c>
      <c r="L40" s="11">
        <v>0</v>
      </c>
      <c r="M40" s="11">
        <v>0</v>
      </c>
      <c r="N40" s="11">
        <f t="shared" si="20"/>
        <v>20277.599999999999</v>
      </c>
    </row>
    <row r="41" spans="1:14" ht="24" customHeight="1" thickBot="1" x14ac:dyDescent="0.3">
      <c r="A41" s="4" t="s">
        <v>10</v>
      </c>
      <c r="B41" s="11">
        <f>9888.6</f>
        <v>9888.6</v>
      </c>
      <c r="C41" s="11">
        <f>1201.9+721.9+17688.7+2743.9+4317.3+4152.8+2779.3+5146+672.7+10070.2</f>
        <v>49494.7</v>
      </c>
      <c r="D41" s="11">
        <f>163906.43+95827.89+15145.5</f>
        <v>274879.82</v>
      </c>
      <c r="E41" s="11">
        <f>2690.8+210+6407.7+601.7+1301.9+2191.9+55250.6</f>
        <v>68654.600000000006</v>
      </c>
      <c r="F41" s="11">
        <f>2343.6+26125</f>
        <v>28468.6</v>
      </c>
      <c r="G41" s="11">
        <f>22199.2</f>
        <v>22199.200000000001</v>
      </c>
      <c r="H41" s="11">
        <f>24165</f>
        <v>24165</v>
      </c>
      <c r="I41" s="11">
        <f>11600+28741.4+2782.6+7371.5+49416.04+13285.2</f>
        <v>113196.74</v>
      </c>
      <c r="J41" s="11">
        <f>1373.3+22120.7+10356.9</f>
        <v>33850.9</v>
      </c>
      <c r="K41" s="11">
        <v>0</v>
      </c>
      <c r="L41" s="11">
        <f>5920.3</f>
        <v>5920.3</v>
      </c>
      <c r="M41" s="11">
        <f>9223.2+1345.4</f>
        <v>10568.6</v>
      </c>
      <c r="N41" s="11">
        <f t="shared" si="20"/>
        <v>641287.06000000006</v>
      </c>
    </row>
    <row r="42" spans="1:14" ht="22.5" customHeight="1" thickBot="1" x14ac:dyDescent="0.3">
      <c r="A42" s="9" t="s">
        <v>24</v>
      </c>
      <c r="B42" s="10">
        <f t="shared" ref="B42:M42" si="25">SUM(B26:B41)</f>
        <v>90194.261330000008</v>
      </c>
      <c r="C42" s="10">
        <f t="shared" si="25"/>
        <v>136281.68145999999</v>
      </c>
      <c r="D42" s="10">
        <f t="shared" si="25"/>
        <v>370963.30499999999</v>
      </c>
      <c r="E42" s="10">
        <f t="shared" si="25"/>
        <v>158970.17349999998</v>
      </c>
      <c r="F42" s="10">
        <f t="shared" si="25"/>
        <v>123011.17007999998</v>
      </c>
      <c r="G42" s="10">
        <f t="shared" si="25"/>
        <v>111975.83669999999</v>
      </c>
      <c r="H42" s="10">
        <f t="shared" si="25"/>
        <v>118879.48918</v>
      </c>
      <c r="I42" s="10">
        <f t="shared" si="25"/>
        <v>220670.47986000002</v>
      </c>
      <c r="J42" s="10">
        <f t="shared" si="25"/>
        <v>127136.88509999998</v>
      </c>
      <c r="K42" s="10">
        <f t="shared" si="25"/>
        <v>105617.22420000001</v>
      </c>
      <c r="L42" s="10">
        <f t="shared" si="25"/>
        <v>125668.30943999998</v>
      </c>
      <c r="M42" s="10">
        <f t="shared" si="25"/>
        <v>93912.663099999991</v>
      </c>
      <c r="N42" s="10">
        <f>SUM(B42:M42)</f>
        <v>1783281.4789500001</v>
      </c>
    </row>
    <row r="43" spans="1:14" ht="23.25" customHeight="1" thickBot="1" x14ac:dyDescent="0.3">
      <c r="A43" s="4" t="s">
        <v>5</v>
      </c>
      <c r="B43" s="18">
        <f t="shared" ref="B43:N43" si="26">B16-B42</f>
        <v>-13252.651330000008</v>
      </c>
      <c r="C43" s="18">
        <f t="shared" si="26"/>
        <v>-52054.081459999987</v>
      </c>
      <c r="D43" s="18">
        <f t="shared" si="26"/>
        <v>-270246.44500000001</v>
      </c>
      <c r="E43" s="18">
        <f t="shared" si="26"/>
        <v>-66606.56349999996</v>
      </c>
      <c r="F43" s="18">
        <f t="shared" si="26"/>
        <v>13653.089920000028</v>
      </c>
      <c r="G43" s="18">
        <f t="shared" si="26"/>
        <v>-28628.916699999958</v>
      </c>
      <c r="H43" s="18">
        <f t="shared" si="26"/>
        <v>65087.920819999941</v>
      </c>
      <c r="I43" s="18">
        <f t="shared" si="26"/>
        <v>-114934.35986000003</v>
      </c>
      <c r="J43" s="18">
        <f t="shared" si="26"/>
        <v>19709.46490000005</v>
      </c>
      <c r="K43" s="18">
        <f t="shared" si="26"/>
        <v>-3134.5641999999934</v>
      </c>
      <c r="L43" s="18">
        <f t="shared" si="26"/>
        <v>37808.950560000056</v>
      </c>
      <c r="M43" s="18">
        <f t="shared" si="26"/>
        <v>41815.136899999998</v>
      </c>
      <c r="N43" s="11">
        <f t="shared" si="26"/>
        <v>-370783.01895000017</v>
      </c>
    </row>
    <row r="44" spans="1:14" ht="23.25" customHeight="1" thickBot="1" x14ac:dyDescent="0.3">
      <c r="A44" s="4" t="s">
        <v>7</v>
      </c>
      <c r="B44" s="14">
        <f>B5+B43</f>
        <v>-470343.57133000001</v>
      </c>
      <c r="C44" s="19">
        <f>B44+C43</f>
        <v>-522397.65278999996</v>
      </c>
      <c r="D44" s="19">
        <f>C44+D43</f>
        <v>-792644.09779000003</v>
      </c>
      <c r="E44" s="14">
        <f>D44+E43</f>
        <v>-859250.66128999996</v>
      </c>
      <c r="F44" s="19">
        <f>E44+F43</f>
        <v>-845597.5713699999</v>
      </c>
      <c r="G44" s="19">
        <f t="shared" ref="G44:N44" si="27">G5+G43</f>
        <v>-874226.48806999985</v>
      </c>
      <c r="H44" s="19">
        <f t="shared" si="27"/>
        <v>-809138.56724999985</v>
      </c>
      <c r="I44" s="19">
        <f t="shared" si="27"/>
        <v>-924072.92710999982</v>
      </c>
      <c r="J44" s="19">
        <f t="shared" si="27"/>
        <v>-904363.46220999979</v>
      </c>
      <c r="K44" s="19">
        <f t="shared" si="27"/>
        <v>-907498.02640999982</v>
      </c>
      <c r="L44" s="19">
        <f t="shared" si="27"/>
        <v>-869689.07584999979</v>
      </c>
      <c r="M44" s="19">
        <f t="shared" si="27"/>
        <v>-827873.93894999975</v>
      </c>
      <c r="N44" s="14">
        <f t="shared" si="27"/>
        <v>-827873.9389500001</v>
      </c>
    </row>
    <row r="45" spans="1:14" ht="23.25" customHeight="1" thickBot="1" x14ac:dyDescent="0.3">
      <c r="A45" s="4" t="s">
        <v>45</v>
      </c>
      <c r="B45" s="11">
        <v>0</v>
      </c>
      <c r="C45" s="11">
        <v>0</v>
      </c>
      <c r="D45" s="11">
        <v>25823.71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f>SUM(B45:M45)</f>
        <v>25823.71</v>
      </c>
    </row>
    <row r="46" spans="1:14" ht="27" customHeight="1" thickBot="1" x14ac:dyDescent="0.3">
      <c r="A46" s="15" t="s">
        <v>11</v>
      </c>
      <c r="B46" s="20">
        <f t="shared" ref="B46:C46" si="28">B6+B16-B7</f>
        <v>-511066.49000000005</v>
      </c>
      <c r="C46" s="20">
        <f t="shared" si="28"/>
        <v>-522608.37000000005</v>
      </c>
      <c r="D46" s="20">
        <f>D6+D16-D7+D45</f>
        <v>-497885.52000000008</v>
      </c>
      <c r="E46" s="20">
        <f t="shared" ref="E46:N46" si="29">E6+E16-E7+E45</f>
        <v>-627104.12000000011</v>
      </c>
      <c r="F46" s="20">
        <f t="shared" si="29"/>
        <v>-593971.18000000017</v>
      </c>
      <c r="G46" s="20">
        <f t="shared" si="29"/>
        <v>-639065.87000000011</v>
      </c>
      <c r="H46" s="20">
        <f t="shared" si="29"/>
        <v>-572328.70000000019</v>
      </c>
      <c r="I46" s="20">
        <f t="shared" si="29"/>
        <v>-591135.65000000014</v>
      </c>
      <c r="J46" s="20">
        <f t="shared" si="29"/>
        <v>-563910.58000000007</v>
      </c>
      <c r="K46" s="20">
        <f t="shared" si="29"/>
        <v>-585704.69000000006</v>
      </c>
      <c r="L46" s="20">
        <f t="shared" si="29"/>
        <v>-559144.49</v>
      </c>
      <c r="M46" s="20">
        <f t="shared" si="29"/>
        <v>-573785.79</v>
      </c>
      <c r="N46" s="20">
        <f t="shared" si="29"/>
        <v>-573785.79000000027</v>
      </c>
    </row>
  </sheetData>
  <mergeCells count="1">
    <mergeCell ref="A1:N1"/>
  </mergeCells>
  <phoneticPr fontId="3" type="noConversion"/>
  <pageMargins left="0.19685039370078741" right="0.19685039370078741" top="0.19685039370078741" bottom="0.19685039370078741" header="0.51181102362204722" footer="0.51181102362204722"/>
  <pageSetup paperSize="9" scale="5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2026-02-16T05:35:39Z</cp:lastPrinted>
  <dcterms:created xsi:type="dcterms:W3CDTF">2011-06-06T03:25:48Z</dcterms:created>
  <dcterms:modified xsi:type="dcterms:W3CDTF">2026-02-16T06:35:53Z</dcterms:modified>
</cp:coreProperties>
</file>