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156" windowWidth="16152" windowHeight="10932"/>
  </bookViews>
  <sheets>
    <sheet name="2025" sheetId="1" r:id="rId1"/>
  </sheets>
  <calcPr calcId="144525" refMode="R1C1"/>
</workbook>
</file>

<file path=xl/calcChain.xml><?xml version="1.0" encoding="utf-8"?>
<calcChain xmlns="http://schemas.openxmlformats.org/spreadsheetml/2006/main">
  <c r="L37" i="1" l="1"/>
  <c r="K37" i="1" l="1"/>
  <c r="M37" i="1" l="1"/>
  <c r="K31" i="1" l="1"/>
  <c r="L31" i="1"/>
  <c r="M31" i="1"/>
  <c r="M26" i="1" l="1"/>
  <c r="M15" i="1"/>
  <c r="M25" i="1"/>
  <c r="M7" i="1"/>
  <c r="L26" i="1" l="1"/>
  <c r="L15" i="1"/>
  <c r="L25" i="1"/>
  <c r="L7" i="1"/>
  <c r="K26" i="1" l="1"/>
  <c r="K15" i="1"/>
  <c r="K25" i="1"/>
  <c r="K7" i="1"/>
  <c r="K32" i="1" l="1"/>
  <c r="L32" i="1"/>
  <c r="M32" i="1"/>
  <c r="K27" i="1"/>
  <c r="L27" i="1"/>
  <c r="M27" i="1"/>
  <c r="K24" i="1"/>
  <c r="L24" i="1"/>
  <c r="M24" i="1"/>
  <c r="K23" i="1"/>
  <c r="L23" i="1"/>
  <c r="M23" i="1"/>
  <c r="G21" i="1" l="1"/>
  <c r="F21" i="1"/>
  <c r="E21" i="1"/>
  <c r="C21" i="1"/>
  <c r="D21" i="1"/>
  <c r="B21" i="1"/>
  <c r="G13" i="1"/>
  <c r="F13" i="1"/>
  <c r="C13" i="1"/>
  <c r="D13" i="1"/>
  <c r="E13" i="1"/>
  <c r="B13" i="1"/>
  <c r="I31" i="1" l="1"/>
  <c r="J31" i="1"/>
  <c r="H31" i="1"/>
  <c r="J28" i="1"/>
  <c r="I28" i="1"/>
  <c r="N33" i="1" l="1"/>
  <c r="N34" i="1"/>
  <c r="I37" i="1" l="1"/>
  <c r="J37" i="1" l="1"/>
  <c r="J26" i="1" l="1"/>
  <c r="J15" i="1"/>
  <c r="J25" i="1"/>
  <c r="J7" i="1"/>
  <c r="I26" i="1" l="1"/>
  <c r="I15" i="1"/>
  <c r="I25" i="1"/>
  <c r="I7" i="1"/>
  <c r="H37" i="1" l="1"/>
  <c r="H26" i="1" l="1"/>
  <c r="H15" i="1"/>
  <c r="H25" i="1"/>
  <c r="H7" i="1"/>
  <c r="H32" i="1"/>
  <c r="I32" i="1"/>
  <c r="J32" i="1"/>
  <c r="H27" i="1"/>
  <c r="I27" i="1"/>
  <c r="J27" i="1"/>
  <c r="H24" i="1"/>
  <c r="I24" i="1"/>
  <c r="J24" i="1"/>
  <c r="H23" i="1"/>
  <c r="I23" i="1"/>
  <c r="J23" i="1"/>
  <c r="E31" i="1" l="1"/>
  <c r="F31" i="1"/>
  <c r="G31" i="1"/>
  <c r="G28" i="1"/>
  <c r="F28" i="1"/>
  <c r="F37" i="1" l="1"/>
  <c r="E37" i="1" l="1"/>
  <c r="G26" i="1" l="1"/>
  <c r="G15" i="1"/>
  <c r="G25" i="1"/>
  <c r="G7" i="1" l="1"/>
  <c r="F26" i="1" l="1"/>
  <c r="F15" i="1"/>
  <c r="F25" i="1"/>
  <c r="F7" i="1"/>
  <c r="E26" i="1" l="1"/>
  <c r="E15" i="1"/>
  <c r="E25" i="1"/>
  <c r="E7" i="1"/>
  <c r="G32" i="1" l="1"/>
  <c r="E32" i="1" l="1"/>
  <c r="F32" i="1"/>
  <c r="E27" i="1"/>
  <c r="F27" i="1"/>
  <c r="G27" i="1"/>
  <c r="E24" i="1"/>
  <c r="F24" i="1"/>
  <c r="G24" i="1"/>
  <c r="E23" i="1"/>
  <c r="F23" i="1"/>
  <c r="G23" i="1"/>
  <c r="C31" i="1" l="1"/>
  <c r="D31" i="1"/>
  <c r="B31" i="1"/>
  <c r="D37" i="1" l="1"/>
  <c r="C27" i="1" l="1"/>
  <c r="D27" i="1"/>
  <c r="B27" i="1"/>
  <c r="D25" i="1"/>
  <c r="C25" i="1"/>
  <c r="D24" i="1"/>
  <c r="C24" i="1"/>
  <c r="D26" i="1" l="1"/>
  <c r="D15" i="1"/>
  <c r="D7" i="1"/>
  <c r="N41" i="1"/>
  <c r="C26" i="1" l="1"/>
  <c r="C15" i="1"/>
  <c r="C7" i="1"/>
  <c r="B26" i="1" l="1"/>
  <c r="B15" i="1"/>
  <c r="B25" i="1"/>
  <c r="B7" i="1"/>
  <c r="C32" i="1" l="1"/>
  <c r="D32" i="1"/>
  <c r="C23" i="1"/>
  <c r="D23" i="1"/>
  <c r="B32" i="1"/>
  <c r="B24" i="1"/>
  <c r="B23" i="1"/>
  <c r="N5" i="1" l="1"/>
  <c r="N4" i="1"/>
  <c r="N20" i="1" l="1"/>
  <c r="N12" i="1"/>
  <c r="L6" i="1"/>
  <c r="N23" i="1"/>
  <c r="N24" i="1"/>
  <c r="N26" i="1"/>
  <c r="N27" i="1"/>
  <c r="N28" i="1"/>
  <c r="N29" i="1"/>
  <c r="N30" i="1"/>
  <c r="N31" i="1"/>
  <c r="N32" i="1"/>
  <c r="N35" i="1"/>
  <c r="N36" i="1"/>
  <c r="N37" i="1"/>
  <c r="N16" i="1"/>
  <c r="N17" i="1"/>
  <c r="N18" i="1"/>
  <c r="N19" i="1"/>
  <c r="N21" i="1"/>
  <c r="N15" i="1"/>
  <c r="K14" i="1"/>
  <c r="L14" i="1"/>
  <c r="M14" i="1"/>
  <c r="N8" i="1"/>
  <c r="N9" i="1"/>
  <c r="N10" i="1"/>
  <c r="N11" i="1"/>
  <c r="N13" i="1"/>
  <c r="K6" i="1"/>
  <c r="M6" i="1"/>
  <c r="M38" i="1" l="1"/>
  <c r="M39" i="1" s="1"/>
  <c r="L38" i="1"/>
  <c r="L39" i="1" s="1"/>
  <c r="K38" i="1"/>
  <c r="K39" i="1" s="1"/>
  <c r="N7" i="1"/>
  <c r="N25" i="1"/>
  <c r="H14" i="1" l="1"/>
  <c r="I14" i="1"/>
  <c r="J14" i="1"/>
  <c r="H6" i="1"/>
  <c r="I6" i="1"/>
  <c r="J6" i="1"/>
  <c r="G6" i="1"/>
  <c r="F14" i="1"/>
  <c r="F6" i="1"/>
  <c r="E14" i="1"/>
  <c r="D14" i="1"/>
  <c r="D6" i="1"/>
  <c r="C14" i="1"/>
  <c r="C6" i="1"/>
  <c r="B14" i="1"/>
  <c r="B6" i="1"/>
  <c r="J38" i="1" l="1"/>
  <c r="J39" i="1" s="1"/>
  <c r="I38" i="1"/>
  <c r="I39" i="1" s="1"/>
  <c r="E38" i="1"/>
  <c r="E39" i="1" s="1"/>
  <c r="C38" i="1"/>
  <c r="C39" i="1" s="1"/>
  <c r="B38" i="1"/>
  <c r="E6" i="1"/>
  <c r="N6" i="1" s="1"/>
  <c r="H38" i="1"/>
  <c r="H39" i="1" s="1"/>
  <c r="G14" i="1"/>
  <c r="F38" i="1"/>
  <c r="F39" i="1" s="1"/>
  <c r="B42" i="1"/>
  <c r="C5" i="1" s="1"/>
  <c r="D38" i="1"/>
  <c r="D39" i="1" s="1"/>
  <c r="G38" i="1" l="1"/>
  <c r="G39" i="1" s="1"/>
  <c r="N14" i="1"/>
  <c r="N42" i="1" s="1"/>
  <c r="C42" i="1"/>
  <c r="D5" i="1" s="1"/>
  <c r="B39" i="1"/>
  <c r="B40" i="1" s="1"/>
  <c r="D42" i="1" l="1"/>
  <c r="E5" i="1" s="1"/>
  <c r="E42" i="1" s="1"/>
  <c r="F5" i="1" s="1"/>
  <c r="C4" i="1"/>
  <c r="C40" i="1" s="1"/>
  <c r="D4" i="1" s="1"/>
  <c r="D40" i="1" s="1"/>
  <c r="N38" i="1"/>
  <c r="F42" i="1" l="1"/>
  <c r="G5" i="1" s="1"/>
  <c r="G42" i="1" s="1"/>
  <c r="H5" i="1" s="1"/>
  <c r="H42" i="1" s="1"/>
  <c r="N39" i="1"/>
  <c r="N40" i="1" s="1"/>
  <c r="E4" i="1"/>
  <c r="E40" i="1" s="1"/>
  <c r="I5" i="1" l="1"/>
  <c r="I42" i="1" s="1"/>
  <c r="F4" i="1"/>
  <c r="F40" i="1" s="1"/>
  <c r="J5" i="1" l="1"/>
  <c r="J42" i="1" s="1"/>
  <c r="G4" i="1"/>
  <c r="G40" i="1" s="1"/>
  <c r="K5" i="1" l="1"/>
  <c r="K42" i="1" s="1"/>
  <c r="H4" i="1"/>
  <c r="H40" i="1" s="1"/>
  <c r="L5" i="1" l="1"/>
  <c r="L42" i="1" s="1"/>
  <c r="I4" i="1"/>
  <c r="I40" i="1" s="1"/>
  <c r="M5" i="1" l="1"/>
  <c r="M42" i="1" s="1"/>
  <c r="J4" i="1"/>
  <c r="J40" i="1" s="1"/>
  <c r="K4" i="1" l="1"/>
  <c r="K40" i="1" s="1"/>
  <c r="L4" i="1" l="1"/>
  <c r="L40" i="1" s="1"/>
  <c r="M4" i="1" l="1"/>
  <c r="M40" i="1" s="1"/>
</calcChain>
</file>

<file path=xl/sharedStrings.xml><?xml version="1.0" encoding="utf-8"?>
<sst xmlns="http://schemas.openxmlformats.org/spreadsheetml/2006/main" count="54" uniqueCount="45">
  <si>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</si>
  <si>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</si>
  <si>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</si>
  <si>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</si>
  <si>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</si>
  <si>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</si>
  <si>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</si>
  <si>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</si>
  <si>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</si>
  <si>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</si>
  <si>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</si>
  <si>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</si>
  <si>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</si>
  <si>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</si>
  <si>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Тех.обслуживание газового оборудования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</si>
  <si>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</si>
  <si>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</si>
  <si>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</si>
  <si>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</si>
  <si>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</si>
  <si>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</si>
  <si>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</si>
  <si>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</si>
  <si>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</si>
  <si>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</si>
  <si>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Тех.обслуживание приборов учета</t>
  </si>
  <si>
    <t>Отведение сточных вод ОИ</t>
  </si>
  <si>
    <t xml:space="preserve">Содержание жилья и текущий ремонт,  ОПУ </t>
  </si>
  <si>
    <t>Январь 2025г.</t>
  </si>
  <si>
    <t>Февраль 2025г.</t>
  </si>
  <si>
    <t>Март 2025г.</t>
  </si>
  <si>
    <t>Апрель 2025г.</t>
  </si>
  <si>
    <t>Май 2025г.</t>
  </si>
  <si>
    <t>Июнь 2025г.</t>
  </si>
  <si>
    <t>Июль 2025г</t>
  </si>
  <si>
    <t>Август 2025г</t>
  </si>
  <si>
    <t>Сентябрь 2025г</t>
  </si>
  <si>
    <t>Октябрь 2025г.</t>
  </si>
  <si>
    <t>Ноябрь 2025г.</t>
  </si>
  <si>
    <t>Декабрь 2025г</t>
  </si>
  <si>
    <t>Всего:                       за  2025г</t>
  </si>
  <si>
    <t xml:space="preserve">Корректировка задолженности </t>
  </si>
  <si>
    <t>Вознаграждение совета МКД</t>
  </si>
  <si>
    <t>Налоги с вознаграждения совета МКД</t>
  </si>
  <si>
    <t xml:space="preserve"> ОТЧЕТ по дому Васильева, 5  за период 01.01.2025г. по 31.12.2025г.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</si>
</sst>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6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sz val="8"/>
      <name val="Arial Cyr"/>
      <charset val="204"/>
    </font>
    <font>
      <b/>
      <sz val="1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0" fillId="0" borderId="0" xfId="0" applyBorder="1"/>
    <xf numFmtId="0" fontId="4" fillId="0" borderId="3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5" fillId="2" borderId="3" xfId="0" applyFont="1" applyFill="1" applyBorder="1" applyAlignment="1">
      <alignment vertical="top" wrapText="1"/>
    </xf>
    <xf numFmtId="164" fontId="5" fillId="2" borderId="4" xfId="0" applyNumberFormat="1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vertical="top" wrapText="1"/>
    </xf>
    <xf numFmtId="164" fontId="5" fillId="3" borderId="4" xfId="0" applyNumberFormat="1" applyFont="1" applyFill="1" applyBorder="1" applyAlignment="1">
      <alignment horizontal="left" vertical="top" wrapText="1"/>
    </xf>
    <xf numFmtId="164" fontId="4" fillId="0" borderId="4" xfId="0" applyNumberFormat="1" applyFont="1" applyBorder="1" applyAlignment="1">
      <alignment horizontal="left" vertical="top" wrapText="1"/>
    </xf>
    <xf numFmtId="0" fontId="5" fillId="4" borderId="3" xfId="0" applyFont="1" applyFill="1" applyBorder="1" applyAlignment="1">
      <alignment vertical="top" wrapText="1"/>
    </xf>
    <xf numFmtId="164" fontId="5" fillId="4" borderId="4" xfId="0" applyNumberFormat="1" applyFont="1" applyFill="1" applyBorder="1" applyAlignment="1">
      <alignment horizontal="left" vertical="top" wrapText="1"/>
    </xf>
    <xf numFmtId="164" fontId="4" fillId="0" borderId="1" xfId="0" applyNumberFormat="1" applyFont="1" applyBorder="1" applyAlignment="1">
      <alignment horizontal="left" vertical="top" wrapText="1"/>
    </xf>
    <xf numFmtId="0" fontId="5" fillId="0" borderId="3" xfId="0" applyFont="1" applyBorder="1" applyAlignment="1">
      <alignment vertical="top" wrapText="1"/>
    </xf>
    <xf numFmtId="164" fontId="5" fillId="0" borderId="5" xfId="0" applyNumberFormat="1" applyFont="1" applyBorder="1" applyAlignment="1">
      <alignment horizontal="left" vertical="top" wrapText="1"/>
    </xf>
    <xf numFmtId="164" fontId="5" fillId="0" borderId="2" xfId="0" applyNumberFormat="1" applyFont="1" applyBorder="1" applyAlignment="1">
      <alignment horizontal="left" vertical="top" wrapText="1"/>
    </xf>
    <xf numFmtId="164" fontId="4" fillId="0" borderId="6" xfId="0" applyNumberFormat="1" applyFont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0" fontId="0" fillId="0" borderId="0" xfId="0" applyAlignment="1">
      <alignment vertical="top"/>
    </xf>
    <xf numFmtId="164" fontId="4" fillId="0" borderId="4" xfId="0" applyNumberFormat="1" applyFont="1" applyFill="1" applyBorder="1" applyAlignment="1">
      <alignment horizontal="left" vertical="top" wrapText="1"/>
    </xf>
    <xf numFmtId="0" fontId="3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2"/>
  <sheetViews>
    <sheetView tabSelected="1" topLeftCell="A22" zoomScale="75" workbookViewId="0">
      <selection activeCell="A22" sqref="A1:H1048576"/>
    </sheetView>
  </sheetViews>
  <sheetFormatPr defaultRowHeight="13.2" x14ac:dyDescent="0.25"/>
  <cols>
    <col min="1" max="1" width="58.6640625" customWidth="1"/>
    <col min="2" max="2" width="13.33203125" customWidth="1"/>
    <col min="3" max="3" width="13.6640625" customWidth="1"/>
    <col min="4" max="13" width="13.5546875" customWidth="1"/>
    <col min="14" max="14" width="16.21875" customWidth="1"/>
  </cols>
  <sheetData>
    <row r="1" spans="1:19" ht="24" customHeight="1" thickBot="1" x14ac:dyDescent="0.3">
      <c r="A1" s="21" t="s">
        <v>44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19"/>
      <c r="P1" s="19"/>
      <c r="Q1" s="19"/>
      <c r="R1" s="19"/>
      <c r="S1" s="19"/>
    </row>
    <row r="2" spans="1:19" ht="3" hidden="1" customHeight="1" thickBot="1" x14ac:dyDescent="0.3">
      <c r="A2" s="1"/>
    </row>
    <row r="3" spans="1:19" ht="36" customHeight="1" thickBot="1" x14ac:dyDescent="0.3">
      <c r="A3" s="4" t="s">
        <v>0</v>
      </c>
      <c r="B3" s="5" t="s">
        <v>28</v>
      </c>
      <c r="C3" s="5" t="s">
        <v>29</v>
      </c>
      <c r="D3" s="5" t="s">
        <v>30</v>
      </c>
      <c r="E3" s="5" t="s">
        <v>31</v>
      </c>
      <c r="F3" s="5" t="s">
        <v>32</v>
      </c>
      <c r="G3" s="5" t="s">
        <v>33</v>
      </c>
      <c r="H3" s="5" t="s">
        <v>34</v>
      </c>
      <c r="I3" s="5" t="s">
        <v>35</v>
      </c>
      <c r="J3" s="5" t="s">
        <v>36</v>
      </c>
      <c r="K3" s="5" t="s">
        <v>37</v>
      </c>
      <c r="L3" s="5" t="s">
        <v>38</v>
      </c>
      <c r="M3" s="5" t="s">
        <v>39</v>
      </c>
      <c r="N3" s="5" t="s">
        <v>40</v>
      </c>
    </row>
    <row r="4" spans="1:19" ht="23.25" customHeight="1" thickBot="1" x14ac:dyDescent="0.3">
      <c r="A4" s="6" t="s">
        <v>16</v>
      </c>
      <c r="B4" s="7">
        <v>175004.57</v>
      </c>
      <c r="C4" s="7">
        <f t="shared" ref="C4:D4" si="0">B40</f>
        <v>185545.27466</v>
      </c>
      <c r="D4" s="7">
        <f t="shared" si="0"/>
        <v>192277.17738000001</v>
      </c>
      <c r="E4" s="7">
        <f t="shared" ref="E4:J4" si="1">D40</f>
        <v>192795.4442</v>
      </c>
      <c r="F4" s="7">
        <f t="shared" si="1"/>
        <v>170164.56242</v>
      </c>
      <c r="G4" s="7">
        <f t="shared" si="1"/>
        <v>170630.70594000001</v>
      </c>
      <c r="H4" s="7">
        <f t="shared" si="1"/>
        <v>179123.74450000003</v>
      </c>
      <c r="I4" s="7">
        <f t="shared" si="1"/>
        <v>184070.70674000002</v>
      </c>
      <c r="J4" s="7">
        <f t="shared" si="1"/>
        <v>204785.43162000005</v>
      </c>
      <c r="K4" s="7">
        <f t="shared" ref="K4" si="2">J40</f>
        <v>209670.49848000007</v>
      </c>
      <c r="L4" s="7">
        <f t="shared" ref="L4" si="3">K40</f>
        <v>238061.25066000008</v>
      </c>
      <c r="M4" s="7">
        <f t="shared" ref="M4" si="4">L40</f>
        <v>252320.74524000008</v>
      </c>
      <c r="N4" s="7">
        <f>B4</f>
        <v>175004.57</v>
      </c>
    </row>
    <row r="5" spans="1:19" ht="21" customHeight="1" thickBot="1" x14ac:dyDescent="0.3">
      <c r="A5" s="6" t="s">
        <v>13</v>
      </c>
      <c r="B5" s="7">
        <v>-42076.7</v>
      </c>
      <c r="C5" s="7">
        <f t="shared" ref="C5:M5" si="5">B42</f>
        <v>-41646.61</v>
      </c>
      <c r="D5" s="7">
        <f t="shared" si="5"/>
        <v>-44816.509999999995</v>
      </c>
      <c r="E5" s="7">
        <f t="shared" si="5"/>
        <v>-32787.360000000001</v>
      </c>
      <c r="F5" s="7">
        <f t="shared" si="5"/>
        <v>-32276.11</v>
      </c>
      <c r="G5" s="7">
        <f t="shared" si="5"/>
        <v>-32683.369999999995</v>
      </c>
      <c r="H5" s="7">
        <f t="shared" si="5"/>
        <v>-72419.389999999985</v>
      </c>
      <c r="I5" s="7">
        <f t="shared" si="5"/>
        <v>-84200.81</v>
      </c>
      <c r="J5" s="7">
        <f t="shared" si="5"/>
        <v>-84143.59</v>
      </c>
      <c r="K5" s="7">
        <f t="shared" si="5"/>
        <v>-91458.7</v>
      </c>
      <c r="L5" s="7">
        <f t="shared" si="5"/>
        <v>-89586.95</v>
      </c>
      <c r="M5" s="7">
        <f t="shared" si="5"/>
        <v>-97372.72</v>
      </c>
      <c r="N5" s="7">
        <f>B5</f>
        <v>-42076.7</v>
      </c>
    </row>
    <row r="6" spans="1:19" ht="20.25" customHeight="1" thickBot="1" x14ac:dyDescent="0.3">
      <c r="A6" s="8" t="s">
        <v>12</v>
      </c>
      <c r="B6" s="9">
        <f t="shared" ref="B6:M6" si="6">SUM(B7:B13)</f>
        <v>70836.88</v>
      </c>
      <c r="C6" s="9">
        <f t="shared" si="6"/>
        <v>70836.88</v>
      </c>
      <c r="D6" s="9">
        <f t="shared" si="6"/>
        <v>70836.88</v>
      </c>
      <c r="E6" s="9">
        <f t="shared" si="6"/>
        <v>70836.88</v>
      </c>
      <c r="F6" s="9">
        <f t="shared" si="6"/>
        <v>70336.88</v>
      </c>
      <c r="G6" s="9">
        <f t="shared" si="6"/>
        <v>120391.09</v>
      </c>
      <c r="H6" s="9">
        <f t="shared" si="6"/>
        <v>116987.31</v>
      </c>
      <c r="I6" s="9">
        <f t="shared" si="6"/>
        <v>111970.67</v>
      </c>
      <c r="J6" s="9">
        <f t="shared" si="6"/>
        <v>116849.74</v>
      </c>
      <c r="K6" s="9">
        <f t="shared" si="6"/>
        <v>121502.22</v>
      </c>
      <c r="L6" s="9">
        <f t="shared" si="6"/>
        <v>111770.67</v>
      </c>
      <c r="M6" s="9">
        <f t="shared" si="6"/>
        <v>111770.67</v>
      </c>
      <c r="N6" s="9">
        <f>SUM(B6:M6)</f>
        <v>1164926.77</v>
      </c>
    </row>
    <row r="7" spans="1:19" ht="24.75" customHeight="1" thickBot="1" x14ac:dyDescent="0.3">
      <c r="A7" s="3" t="s">
        <v>27</v>
      </c>
      <c r="B7" s="10">
        <f>68245.05+1461.13</f>
        <v>69706.180000000008</v>
      </c>
      <c r="C7" s="10">
        <f>68245.05+1461.13</f>
        <v>69706.180000000008</v>
      </c>
      <c r="D7" s="10">
        <f>68245.05+1461.13</f>
        <v>69706.180000000008</v>
      </c>
      <c r="E7" s="10">
        <f>68245.05+1461.13</f>
        <v>69706.180000000008</v>
      </c>
      <c r="F7" s="10">
        <f>68245.05+1461.13</f>
        <v>69706.180000000008</v>
      </c>
      <c r="G7" s="10">
        <f t="shared" ref="G7:L7" si="7">98001.75+1461.13</f>
        <v>99462.88</v>
      </c>
      <c r="H7" s="10">
        <f t="shared" si="7"/>
        <v>99462.88</v>
      </c>
      <c r="I7" s="10">
        <f t="shared" si="7"/>
        <v>99462.88</v>
      </c>
      <c r="J7" s="10">
        <f t="shared" si="7"/>
        <v>99462.88</v>
      </c>
      <c r="K7" s="10">
        <f t="shared" si="7"/>
        <v>99462.88</v>
      </c>
      <c r="L7" s="10">
        <f t="shared" si="7"/>
        <v>99462.88</v>
      </c>
      <c r="M7" s="10">
        <f>98001.75+1461.13</f>
        <v>99462.88</v>
      </c>
      <c r="N7" s="10">
        <f>SUM(B7:M7)</f>
        <v>1044771.06</v>
      </c>
    </row>
    <row r="8" spans="1:19" ht="24.75" customHeight="1" thickBot="1" x14ac:dyDescent="0.3">
      <c r="A8" s="3" t="s">
        <v>17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7947.51</v>
      </c>
      <c r="H8" s="10">
        <v>5043.7299999999996</v>
      </c>
      <c r="I8" s="10">
        <v>0</v>
      </c>
      <c r="J8" s="10">
        <v>4879.07</v>
      </c>
      <c r="K8" s="10">
        <v>9731.5499999999993</v>
      </c>
      <c r="L8" s="10">
        <v>0</v>
      </c>
      <c r="M8" s="10">
        <v>0</v>
      </c>
      <c r="N8" s="10">
        <f t="shared" ref="N8:N13" si="8">SUM(B8:M8)</f>
        <v>27601.859999999997</v>
      </c>
    </row>
    <row r="9" spans="1:19" ht="21.75" customHeight="1" thickBot="1" x14ac:dyDescent="0.3">
      <c r="A9" s="3" t="s">
        <v>18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f t="shared" si="8"/>
        <v>0</v>
      </c>
    </row>
    <row r="10" spans="1:19" ht="22.5" customHeight="1" thickBot="1" x14ac:dyDescent="0.3">
      <c r="A10" s="3" t="s">
        <v>19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f t="shared" si="8"/>
        <v>0</v>
      </c>
    </row>
    <row r="11" spans="1:19" ht="22.5" customHeight="1" thickBot="1" x14ac:dyDescent="0.3">
      <c r="A11" s="3" t="s">
        <v>26</v>
      </c>
      <c r="B11" s="10">
        <v>260.7</v>
      </c>
      <c r="C11" s="10">
        <v>260.7</v>
      </c>
      <c r="D11" s="10">
        <v>260.7</v>
      </c>
      <c r="E11" s="10">
        <v>260.7</v>
      </c>
      <c r="F11" s="10">
        <v>260.7</v>
      </c>
      <c r="G11" s="10">
        <v>260.7</v>
      </c>
      <c r="H11" s="10">
        <v>260.7</v>
      </c>
      <c r="I11" s="10">
        <v>287.79000000000002</v>
      </c>
      <c r="J11" s="10">
        <v>287.79000000000002</v>
      </c>
      <c r="K11" s="10">
        <v>287.79000000000002</v>
      </c>
      <c r="L11" s="10">
        <v>287.79000000000002</v>
      </c>
      <c r="M11" s="10">
        <v>287.79000000000002</v>
      </c>
      <c r="N11" s="10">
        <f t="shared" si="8"/>
        <v>3263.85</v>
      </c>
    </row>
    <row r="12" spans="1:19" ht="22.5" customHeight="1" thickBot="1" x14ac:dyDescent="0.3">
      <c r="A12" s="3" t="s">
        <v>42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11850</v>
      </c>
      <c r="H12" s="10">
        <v>11850</v>
      </c>
      <c r="I12" s="10">
        <v>11850</v>
      </c>
      <c r="J12" s="10">
        <v>11850</v>
      </c>
      <c r="K12" s="10">
        <v>11850</v>
      </c>
      <c r="L12" s="10">
        <v>11850</v>
      </c>
      <c r="M12" s="10">
        <v>11850</v>
      </c>
      <c r="N12" s="10">
        <f t="shared" si="8"/>
        <v>82950</v>
      </c>
    </row>
    <row r="13" spans="1:19" ht="24" customHeight="1" thickBot="1" x14ac:dyDescent="0.3">
      <c r="A13" s="3" t="s">
        <v>15</v>
      </c>
      <c r="B13" s="10">
        <f>1170-300</f>
        <v>870</v>
      </c>
      <c r="C13" s="10">
        <f t="shared" ref="C13:E13" si="9">1170-300</f>
        <v>870</v>
      </c>
      <c r="D13" s="10">
        <f t="shared" si="9"/>
        <v>870</v>
      </c>
      <c r="E13" s="10">
        <f t="shared" si="9"/>
        <v>870</v>
      </c>
      <c r="F13" s="10">
        <f>670-300</f>
        <v>370</v>
      </c>
      <c r="G13" s="10">
        <f>1170-300</f>
        <v>870</v>
      </c>
      <c r="H13" s="10">
        <v>370</v>
      </c>
      <c r="I13" s="10">
        <v>370</v>
      </c>
      <c r="J13" s="10">
        <v>370</v>
      </c>
      <c r="K13" s="10">
        <v>170</v>
      </c>
      <c r="L13" s="10">
        <v>170</v>
      </c>
      <c r="M13" s="10">
        <v>170</v>
      </c>
      <c r="N13" s="10">
        <f t="shared" si="8"/>
        <v>6340</v>
      </c>
    </row>
    <row r="14" spans="1:19" ht="20.25" customHeight="1" thickBot="1" x14ac:dyDescent="0.3">
      <c r="A14" s="11" t="s">
        <v>8</v>
      </c>
      <c r="B14" s="12">
        <f t="shared" ref="B14:M14" si="10">SUM(B15:B21)</f>
        <v>71266.97</v>
      </c>
      <c r="C14" s="12">
        <f t="shared" si="10"/>
        <v>67666.98000000001</v>
      </c>
      <c r="D14" s="12">
        <f t="shared" si="10"/>
        <v>67502.509999999995</v>
      </c>
      <c r="E14" s="12">
        <f t="shared" si="10"/>
        <v>71348.13</v>
      </c>
      <c r="F14" s="12">
        <f t="shared" si="10"/>
        <v>69929.62000000001</v>
      </c>
      <c r="G14" s="12">
        <f t="shared" si="10"/>
        <v>80655.070000000007</v>
      </c>
      <c r="H14" s="12">
        <f t="shared" si="10"/>
        <v>105205.88999999998</v>
      </c>
      <c r="I14" s="12">
        <f t="shared" si="10"/>
        <v>112027.89</v>
      </c>
      <c r="J14" s="12">
        <f t="shared" si="10"/>
        <v>109534.63</v>
      </c>
      <c r="K14" s="12">
        <f t="shared" si="10"/>
        <v>123373.97</v>
      </c>
      <c r="L14" s="12">
        <f t="shared" si="10"/>
        <v>103984.9</v>
      </c>
      <c r="M14" s="12">
        <f t="shared" si="10"/>
        <v>116580.64</v>
      </c>
      <c r="N14" s="12">
        <f>SUM(B14:M14)</f>
        <v>1099077.2</v>
      </c>
    </row>
    <row r="15" spans="1:19" ht="24" customHeight="1" thickBot="1" x14ac:dyDescent="0.3">
      <c r="A15" s="3" t="s">
        <v>27</v>
      </c>
      <c r="B15" s="10">
        <f>69119.66+1545.25</f>
        <v>70664.91</v>
      </c>
      <c r="C15" s="10">
        <f>65434.64+1614.53</f>
        <v>67049.17</v>
      </c>
      <c r="D15" s="10">
        <f>65342.82+1559.69</f>
        <v>66902.509999999995</v>
      </c>
      <c r="E15" s="10">
        <f>68089.27+1535.43+0.02</f>
        <v>69624.72</v>
      </c>
      <c r="F15" s="10">
        <f>68401.57+1417.95</f>
        <v>69819.520000000004</v>
      </c>
      <c r="G15" s="10">
        <f>79079.96+1450.83</f>
        <v>80530.790000000008</v>
      </c>
      <c r="H15" s="10">
        <f>93393.87+1393.05</f>
        <v>94786.92</v>
      </c>
      <c r="I15" s="10">
        <f>98401.92+1480.47</f>
        <v>99882.39</v>
      </c>
      <c r="J15" s="10">
        <f>95028.04+1395.52</f>
        <v>96423.56</v>
      </c>
      <c r="K15" s="10">
        <f>109004.21+1609.21</f>
        <v>110613.42000000001</v>
      </c>
      <c r="L15" s="10">
        <f>85663.23+1277.13</f>
        <v>86940.36</v>
      </c>
      <c r="M15" s="10">
        <f>101051.81+1524.35</f>
        <v>102576.16</v>
      </c>
      <c r="N15" s="10">
        <f>SUM(B15:M15)</f>
        <v>1015814.43</v>
      </c>
    </row>
    <row r="16" spans="1:19" ht="26.25" customHeight="1" thickBot="1" x14ac:dyDescent="0.3">
      <c r="A16" s="3" t="s">
        <v>17</v>
      </c>
      <c r="B16" s="10">
        <v>2.06</v>
      </c>
      <c r="C16" s="10">
        <v>11.71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41.22</v>
      </c>
      <c r="K16" s="10">
        <v>87.48</v>
      </c>
      <c r="L16" s="10">
        <v>6049.2</v>
      </c>
      <c r="M16" s="10">
        <v>457.76</v>
      </c>
      <c r="N16" s="10">
        <f t="shared" ref="N16:N21" si="11">SUM(B16:M16)</f>
        <v>6649.43</v>
      </c>
    </row>
    <row r="17" spans="1:15" ht="26.25" customHeight="1" thickBot="1" x14ac:dyDescent="0.3">
      <c r="A17" s="3" t="s">
        <v>18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f t="shared" si="11"/>
        <v>0</v>
      </c>
    </row>
    <row r="18" spans="1:15" ht="24" customHeight="1" thickBot="1" x14ac:dyDescent="0.3">
      <c r="A18" s="3" t="s">
        <v>19</v>
      </c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f t="shared" si="11"/>
        <v>0</v>
      </c>
    </row>
    <row r="19" spans="1:15" ht="24" customHeight="1" thickBot="1" x14ac:dyDescent="0.3">
      <c r="A19" s="3" t="s">
        <v>26</v>
      </c>
      <c r="B19" s="10">
        <v>0</v>
      </c>
      <c r="C19" s="10">
        <v>6.1</v>
      </c>
      <c r="D19" s="10">
        <v>0</v>
      </c>
      <c r="E19" s="10">
        <v>3.41</v>
      </c>
      <c r="F19" s="10">
        <v>10.1</v>
      </c>
      <c r="G19" s="10">
        <v>24.28</v>
      </c>
      <c r="H19" s="10">
        <v>11.9</v>
      </c>
      <c r="I19" s="10">
        <v>18.190000000000001</v>
      </c>
      <c r="J19" s="10">
        <v>220.39</v>
      </c>
      <c r="K19" s="10">
        <v>313.23</v>
      </c>
      <c r="L19" s="10">
        <v>251.54</v>
      </c>
      <c r="M19" s="10">
        <v>296.72000000000003</v>
      </c>
      <c r="N19" s="10">
        <f t="shared" si="11"/>
        <v>1155.8600000000001</v>
      </c>
    </row>
    <row r="20" spans="1:15" ht="24" customHeight="1" thickBot="1" x14ac:dyDescent="0.3">
      <c r="A20" s="3" t="s">
        <v>42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10307.07</v>
      </c>
      <c r="I20" s="10">
        <v>12027.31</v>
      </c>
      <c r="J20" s="10">
        <v>11349.46</v>
      </c>
      <c r="K20" s="10">
        <v>12259.84</v>
      </c>
      <c r="L20" s="10">
        <v>10643.8</v>
      </c>
      <c r="M20" s="10">
        <v>12450</v>
      </c>
      <c r="N20" s="10">
        <f t="shared" si="11"/>
        <v>69037.48</v>
      </c>
    </row>
    <row r="21" spans="1:15" ht="21" customHeight="1" thickBot="1" x14ac:dyDescent="0.3">
      <c r="A21" s="3" t="s">
        <v>15</v>
      </c>
      <c r="B21" s="13">
        <f>900-300</f>
        <v>600</v>
      </c>
      <c r="C21" s="13">
        <f t="shared" ref="C21:D21" si="12">900-300</f>
        <v>600</v>
      </c>
      <c r="D21" s="13">
        <f t="shared" si="12"/>
        <v>600</v>
      </c>
      <c r="E21" s="13">
        <f>2020-300</f>
        <v>1720</v>
      </c>
      <c r="F21" s="13">
        <f>400-300</f>
        <v>100</v>
      </c>
      <c r="G21" s="13">
        <f>400-300</f>
        <v>100</v>
      </c>
      <c r="H21" s="13">
        <v>100</v>
      </c>
      <c r="I21" s="13">
        <v>100</v>
      </c>
      <c r="J21" s="13">
        <v>1500</v>
      </c>
      <c r="K21" s="10">
        <v>100</v>
      </c>
      <c r="L21" s="10">
        <v>100</v>
      </c>
      <c r="M21" s="10">
        <v>800</v>
      </c>
      <c r="N21" s="10">
        <f t="shared" si="11"/>
        <v>6420</v>
      </c>
      <c r="O21" s="2"/>
    </row>
    <row r="22" spans="1:15" ht="21.75" customHeight="1" thickBot="1" x14ac:dyDescent="0.3">
      <c r="A22" s="14" t="s">
        <v>24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6"/>
    </row>
    <row r="23" spans="1:15" ht="19.5" customHeight="1" thickBot="1" x14ac:dyDescent="0.3">
      <c r="A23" s="3" t="s">
        <v>1</v>
      </c>
      <c r="B23" s="10">
        <f t="shared" ref="B23:M23" si="13">3563.7*0.6</f>
        <v>2138.2199999999998</v>
      </c>
      <c r="C23" s="10">
        <f t="shared" si="13"/>
        <v>2138.2199999999998</v>
      </c>
      <c r="D23" s="10">
        <f t="shared" si="13"/>
        <v>2138.2199999999998</v>
      </c>
      <c r="E23" s="10">
        <f t="shared" si="13"/>
        <v>2138.2199999999998</v>
      </c>
      <c r="F23" s="10">
        <f t="shared" si="13"/>
        <v>2138.2199999999998</v>
      </c>
      <c r="G23" s="10">
        <f t="shared" si="13"/>
        <v>2138.2199999999998</v>
      </c>
      <c r="H23" s="10">
        <f t="shared" si="13"/>
        <v>2138.2199999999998</v>
      </c>
      <c r="I23" s="10">
        <f t="shared" si="13"/>
        <v>2138.2199999999998</v>
      </c>
      <c r="J23" s="10">
        <f t="shared" si="13"/>
        <v>2138.2199999999998</v>
      </c>
      <c r="K23" s="10">
        <f t="shared" si="13"/>
        <v>2138.2199999999998</v>
      </c>
      <c r="L23" s="10">
        <f t="shared" si="13"/>
        <v>2138.2199999999998</v>
      </c>
      <c r="M23" s="10">
        <f t="shared" si="13"/>
        <v>2138.2199999999998</v>
      </c>
      <c r="N23" s="10">
        <f t="shared" ref="N23:N37" si="14">SUM(B23:M23)</f>
        <v>25658.640000000003</v>
      </c>
    </row>
    <row r="24" spans="1:15" ht="22.5" customHeight="1" thickBot="1" x14ac:dyDescent="0.3">
      <c r="A24" s="3" t="s">
        <v>2</v>
      </c>
      <c r="B24" s="10">
        <f t="shared" ref="B24" si="15">3563.7*0.17</f>
        <v>605.82900000000006</v>
      </c>
      <c r="C24" s="10">
        <f>3563.7*0.2</f>
        <v>712.74</v>
      </c>
      <c r="D24" s="10">
        <f>3563.7*0.2</f>
        <v>712.74</v>
      </c>
      <c r="E24" s="10">
        <f t="shared" ref="E24:M24" si="16">3563.7*0.2</f>
        <v>712.74</v>
      </c>
      <c r="F24" s="10">
        <f t="shared" si="16"/>
        <v>712.74</v>
      </c>
      <c r="G24" s="10">
        <f t="shared" si="16"/>
        <v>712.74</v>
      </c>
      <c r="H24" s="10">
        <f t="shared" si="16"/>
        <v>712.74</v>
      </c>
      <c r="I24" s="10">
        <f t="shared" si="16"/>
        <v>712.74</v>
      </c>
      <c r="J24" s="10">
        <f t="shared" si="16"/>
        <v>712.74</v>
      </c>
      <c r="K24" s="10">
        <f t="shared" si="16"/>
        <v>712.74</v>
      </c>
      <c r="L24" s="10">
        <f t="shared" si="16"/>
        <v>712.74</v>
      </c>
      <c r="M24" s="10">
        <f t="shared" si="16"/>
        <v>712.74</v>
      </c>
      <c r="N24" s="10">
        <f t="shared" si="14"/>
        <v>8445.9689999999991</v>
      </c>
    </row>
    <row r="25" spans="1:15" ht="21" customHeight="1" thickBot="1" x14ac:dyDescent="0.3">
      <c r="A25" s="3" t="s">
        <v>3</v>
      </c>
      <c r="B25" s="10">
        <f>69966.88*2.3%</f>
        <v>1609.2382400000001</v>
      </c>
      <c r="C25" s="10">
        <f>69966.88*2.6%</f>
        <v>1819.1388800000002</v>
      </c>
      <c r="D25" s="10">
        <f>69966.88*2.6%</f>
        <v>1819.1388800000002</v>
      </c>
      <c r="E25" s="10">
        <f>69966.88*2.6%</f>
        <v>1819.1388800000002</v>
      </c>
      <c r="F25" s="10">
        <f>69966.88*2.6%</f>
        <v>1819.1388800000002</v>
      </c>
      <c r="G25" s="10">
        <f>119521.09*2.6%</f>
        <v>3107.5483400000003</v>
      </c>
      <c r="H25" s="10">
        <f>116617.31*2.6%</f>
        <v>3032.05006</v>
      </c>
      <c r="I25" s="10">
        <f>111600.67*2.6%</f>
        <v>2901.61742</v>
      </c>
      <c r="J25" s="10">
        <f>116479.74*2.6%</f>
        <v>3028.4732400000003</v>
      </c>
      <c r="K25" s="10">
        <f>121332.22*2.6%</f>
        <v>3154.6377200000002</v>
      </c>
      <c r="L25" s="10">
        <f>111600.67*2.6%</f>
        <v>2901.61742</v>
      </c>
      <c r="M25" s="10">
        <f>111600.67*2.6%</f>
        <v>2901.61742</v>
      </c>
      <c r="N25" s="10">
        <f t="shared" si="14"/>
        <v>29913.355379999997</v>
      </c>
    </row>
    <row r="26" spans="1:15" ht="23.25" customHeight="1" thickBot="1" x14ac:dyDescent="0.3">
      <c r="A26" s="3" t="s">
        <v>4</v>
      </c>
      <c r="B26" s="10">
        <f>70666.97*3%</f>
        <v>2120.0090999999998</v>
      </c>
      <c r="C26" s="10">
        <f>67066.98*3%</f>
        <v>2012.0093999999999</v>
      </c>
      <c r="D26" s="10">
        <f>66902.51*3%</f>
        <v>2007.0752999999997</v>
      </c>
      <c r="E26" s="10">
        <f>69628.13*3%</f>
        <v>2088.8438999999998</v>
      </c>
      <c r="F26" s="10">
        <f>69829.62*3%</f>
        <v>2094.8885999999998</v>
      </c>
      <c r="G26" s="10">
        <f>80555.07*3%</f>
        <v>2416.6521000000002</v>
      </c>
      <c r="H26" s="10">
        <f>105105.89*3%</f>
        <v>3153.1767</v>
      </c>
      <c r="I26" s="10">
        <f>111927.89*3%</f>
        <v>3357.8366999999998</v>
      </c>
      <c r="J26" s="10">
        <f>108034.63*3%</f>
        <v>3241.0389</v>
      </c>
      <c r="K26" s="10">
        <f>123273.97*3%</f>
        <v>3698.2190999999998</v>
      </c>
      <c r="L26" s="10">
        <f>103884.9*3%</f>
        <v>3116.5469999999996</v>
      </c>
      <c r="M26" s="10">
        <f>115780.64*3%</f>
        <v>3473.4191999999998</v>
      </c>
      <c r="N26" s="10">
        <f t="shared" si="14"/>
        <v>32779.715999999993</v>
      </c>
    </row>
    <row r="27" spans="1:15" ht="23.25" customHeight="1" thickBot="1" x14ac:dyDescent="0.3">
      <c r="A27" s="3" t="s">
        <v>9</v>
      </c>
      <c r="B27" s="20">
        <f>3563.7*12</f>
        <v>42764.399999999994</v>
      </c>
      <c r="C27" s="20">
        <f t="shared" ref="C27:M27" si="17">3563.7*12</f>
        <v>42764.399999999994</v>
      </c>
      <c r="D27" s="20">
        <f t="shared" si="17"/>
        <v>42764.399999999994</v>
      </c>
      <c r="E27" s="20">
        <f t="shared" si="17"/>
        <v>42764.399999999994</v>
      </c>
      <c r="F27" s="20">
        <f t="shared" si="17"/>
        <v>42764.399999999994</v>
      </c>
      <c r="G27" s="20">
        <f t="shared" si="17"/>
        <v>42764.399999999994</v>
      </c>
      <c r="H27" s="20">
        <f t="shared" si="17"/>
        <v>42764.399999999994</v>
      </c>
      <c r="I27" s="20">
        <f t="shared" si="17"/>
        <v>42764.399999999994</v>
      </c>
      <c r="J27" s="20">
        <f t="shared" si="17"/>
        <v>42764.399999999994</v>
      </c>
      <c r="K27" s="20">
        <f t="shared" si="17"/>
        <v>42764.399999999994</v>
      </c>
      <c r="L27" s="20">
        <f t="shared" si="17"/>
        <v>42764.399999999994</v>
      </c>
      <c r="M27" s="20">
        <f t="shared" si="17"/>
        <v>42764.399999999994</v>
      </c>
      <c r="N27" s="10">
        <f t="shared" si="14"/>
        <v>513172.80000000005</v>
      </c>
    </row>
    <row r="28" spans="1:15" ht="19.2" customHeight="1" thickBot="1" x14ac:dyDescent="0.3">
      <c r="A28" s="3" t="s">
        <v>20</v>
      </c>
      <c r="B28" s="10">
        <v>0</v>
      </c>
      <c r="C28" s="10">
        <v>0</v>
      </c>
      <c r="D28" s="10">
        <v>0</v>
      </c>
      <c r="E28" s="10">
        <v>0</v>
      </c>
      <c r="F28" s="10">
        <f>7111.04+836.48</f>
        <v>7947.52</v>
      </c>
      <c r="G28" s="10">
        <f>4512.79+530.85</f>
        <v>5043.6400000000003</v>
      </c>
      <c r="H28" s="10">
        <v>0</v>
      </c>
      <c r="I28" s="10">
        <f>4400.18+478.86</f>
        <v>4879.04</v>
      </c>
      <c r="J28" s="10">
        <f>8776.44+955.1</f>
        <v>9731.5400000000009</v>
      </c>
      <c r="K28" s="10">
        <v>0</v>
      </c>
      <c r="L28" s="10">
        <v>0</v>
      </c>
      <c r="M28" s="10">
        <v>0</v>
      </c>
      <c r="N28" s="10">
        <f t="shared" si="14"/>
        <v>27601.74</v>
      </c>
    </row>
    <row r="29" spans="1:15" ht="21.6" customHeight="1" thickBot="1" x14ac:dyDescent="0.3">
      <c r="A29" s="3" t="s">
        <v>21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f t="shared" si="14"/>
        <v>0</v>
      </c>
    </row>
    <row r="30" spans="1:15" ht="21.6" customHeight="1" thickBot="1" x14ac:dyDescent="0.3">
      <c r="A30" s="3" t="s">
        <v>22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f t="shared" si="14"/>
        <v>0</v>
      </c>
    </row>
    <row r="31" spans="1:15" ht="26.25" customHeight="1" thickBot="1" x14ac:dyDescent="0.3">
      <c r="A31" s="3" t="s">
        <v>26</v>
      </c>
      <c r="B31" s="10">
        <f>260.75+0</f>
        <v>260.75</v>
      </c>
      <c r="C31" s="10">
        <f t="shared" ref="C31:G31" si="18">260.75+0</f>
        <v>260.75</v>
      </c>
      <c r="D31" s="10">
        <f t="shared" si="18"/>
        <v>260.75</v>
      </c>
      <c r="E31" s="10">
        <f t="shared" si="18"/>
        <v>260.75</v>
      </c>
      <c r="F31" s="10">
        <f t="shared" si="18"/>
        <v>260.75</v>
      </c>
      <c r="G31" s="10">
        <f t="shared" si="18"/>
        <v>260.75</v>
      </c>
      <c r="H31" s="10">
        <f>287.76+0</f>
        <v>287.76</v>
      </c>
      <c r="I31" s="10">
        <f t="shared" ref="I31:M31" si="19">287.76+0</f>
        <v>287.76</v>
      </c>
      <c r="J31" s="10">
        <f t="shared" si="19"/>
        <v>287.76</v>
      </c>
      <c r="K31" s="10">
        <f t="shared" si="19"/>
        <v>287.76</v>
      </c>
      <c r="L31" s="10">
        <f t="shared" si="19"/>
        <v>287.76</v>
      </c>
      <c r="M31" s="10">
        <f t="shared" si="19"/>
        <v>287.76</v>
      </c>
      <c r="N31" s="10">
        <f t="shared" si="14"/>
        <v>3291.0600000000004</v>
      </c>
    </row>
    <row r="32" spans="1:15" ht="24.6" customHeight="1" thickBot="1" x14ac:dyDescent="0.3">
      <c r="A32" s="3" t="s">
        <v>6</v>
      </c>
      <c r="B32" s="10">
        <f t="shared" ref="B32:F32" si="20">3563.7*2.87</f>
        <v>10227.819</v>
      </c>
      <c r="C32" s="10">
        <f t="shared" si="20"/>
        <v>10227.819</v>
      </c>
      <c r="D32" s="10">
        <f t="shared" si="20"/>
        <v>10227.819</v>
      </c>
      <c r="E32" s="10">
        <f t="shared" si="20"/>
        <v>10227.819</v>
      </c>
      <c r="F32" s="10">
        <f t="shared" si="20"/>
        <v>10227.819</v>
      </c>
      <c r="G32" s="10">
        <f>3563.7*4.13</f>
        <v>14718.080999999998</v>
      </c>
      <c r="H32" s="10">
        <f t="shared" ref="H32:M32" si="21">3563.7*4.13</f>
        <v>14718.080999999998</v>
      </c>
      <c r="I32" s="10">
        <f t="shared" si="21"/>
        <v>14718.080999999998</v>
      </c>
      <c r="J32" s="10">
        <f t="shared" si="21"/>
        <v>14718.080999999998</v>
      </c>
      <c r="K32" s="10">
        <f t="shared" si="21"/>
        <v>14718.080999999998</v>
      </c>
      <c r="L32" s="10">
        <f t="shared" si="21"/>
        <v>14718.080999999998</v>
      </c>
      <c r="M32" s="10">
        <f t="shared" si="21"/>
        <v>14718.080999999998</v>
      </c>
      <c r="N32" s="10">
        <f t="shared" si="14"/>
        <v>154165.66200000004</v>
      </c>
    </row>
    <row r="33" spans="1:14" ht="24.6" customHeight="1" thickBot="1" x14ac:dyDescent="0.3">
      <c r="A33" s="3" t="s">
        <v>42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8967.07</v>
      </c>
      <c r="J33" s="10">
        <v>10463.31</v>
      </c>
      <c r="K33" s="10">
        <v>9874.4599999999991</v>
      </c>
      <c r="L33" s="10">
        <v>10665.84</v>
      </c>
      <c r="M33" s="10">
        <v>9259.7999999999993</v>
      </c>
      <c r="N33" s="10">
        <f t="shared" si="14"/>
        <v>49230.479999999996</v>
      </c>
    </row>
    <row r="34" spans="1:14" ht="24.6" customHeight="1" thickBot="1" x14ac:dyDescent="0.3">
      <c r="A34" s="3" t="s">
        <v>43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1340</v>
      </c>
      <c r="J34" s="10">
        <v>1564</v>
      </c>
      <c r="K34" s="10">
        <v>1475</v>
      </c>
      <c r="L34" s="10">
        <v>1594</v>
      </c>
      <c r="M34" s="10">
        <v>1384</v>
      </c>
      <c r="N34" s="10">
        <f t="shared" si="14"/>
        <v>7357</v>
      </c>
    </row>
    <row r="35" spans="1:14" ht="24.6" customHeight="1" thickBot="1" x14ac:dyDescent="0.3">
      <c r="A35" s="3" t="s">
        <v>25</v>
      </c>
      <c r="B35" s="10">
        <v>1000</v>
      </c>
      <c r="C35" s="10">
        <v>1000</v>
      </c>
      <c r="D35" s="10">
        <v>1000</v>
      </c>
      <c r="E35" s="10">
        <v>1000</v>
      </c>
      <c r="F35" s="10">
        <v>1000</v>
      </c>
      <c r="G35" s="10">
        <v>1000</v>
      </c>
      <c r="H35" s="10">
        <v>1000</v>
      </c>
      <c r="I35" s="10">
        <v>1000</v>
      </c>
      <c r="J35" s="10">
        <v>1000</v>
      </c>
      <c r="K35" s="10">
        <v>1000</v>
      </c>
      <c r="L35" s="10">
        <v>1000</v>
      </c>
      <c r="M35" s="10">
        <v>1000</v>
      </c>
      <c r="N35" s="10">
        <f t="shared" si="14"/>
        <v>12000</v>
      </c>
    </row>
    <row r="36" spans="1:14" ht="24.75" customHeight="1" thickBot="1" x14ac:dyDescent="0.3">
      <c r="A36" s="3" t="s">
        <v>14</v>
      </c>
      <c r="B36" s="10">
        <v>0</v>
      </c>
      <c r="C36" s="10">
        <v>0</v>
      </c>
      <c r="D36" s="10">
        <v>0</v>
      </c>
      <c r="E36" s="10">
        <v>22083.1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f t="shared" si="14"/>
        <v>22083.1</v>
      </c>
    </row>
    <row r="37" spans="1:14" ht="24" customHeight="1" thickBot="1" x14ac:dyDescent="0.3">
      <c r="A37" s="3" t="s">
        <v>10</v>
      </c>
      <c r="B37" s="10">
        <v>0</v>
      </c>
      <c r="C37" s="10">
        <v>0</v>
      </c>
      <c r="D37" s="10">
        <f>6054.1</f>
        <v>6054.1</v>
      </c>
      <c r="E37" s="10">
        <f>1738.7+8543.6+601.7</f>
        <v>10884.000000000002</v>
      </c>
      <c r="F37" s="10">
        <f>498</f>
        <v>498</v>
      </c>
      <c r="G37" s="10">
        <v>0</v>
      </c>
      <c r="H37" s="10">
        <f>4571.8+17526.9+2560.3+4044.5+3060.8+688.2</f>
        <v>32452.5</v>
      </c>
      <c r="I37" s="10">
        <f>5600+2646.4</f>
        <v>8246.4</v>
      </c>
      <c r="J37" s="10">
        <f>15000</f>
        <v>15000</v>
      </c>
      <c r="K37" s="10">
        <f>5443.6+2343.6+4433.4+2939.1</f>
        <v>15159.7</v>
      </c>
      <c r="L37" s="10">
        <f>1000+2018.1+1455.3+2133.5+3219.3</f>
        <v>9826.2000000000007</v>
      </c>
      <c r="M37" s="10">
        <f>145</f>
        <v>145</v>
      </c>
      <c r="N37" s="10">
        <f t="shared" si="14"/>
        <v>98265.9</v>
      </c>
    </row>
    <row r="38" spans="1:14" ht="22.5" customHeight="1" thickBot="1" x14ac:dyDescent="0.3">
      <c r="A38" s="8" t="s">
        <v>23</v>
      </c>
      <c r="B38" s="9">
        <f t="shared" ref="B38:M38" si="22">SUM(B23:B37)</f>
        <v>60726.265339999998</v>
      </c>
      <c r="C38" s="9">
        <f t="shared" si="22"/>
        <v>60935.077279999998</v>
      </c>
      <c r="D38" s="9">
        <f t="shared" si="22"/>
        <v>66984.243180000005</v>
      </c>
      <c r="E38" s="9">
        <f t="shared" si="22"/>
        <v>93979.011780000001</v>
      </c>
      <c r="F38" s="9">
        <f t="shared" si="22"/>
        <v>69463.476479999998</v>
      </c>
      <c r="G38" s="9">
        <f t="shared" si="22"/>
        <v>72162.031439999992</v>
      </c>
      <c r="H38" s="9">
        <f t="shared" si="22"/>
        <v>100258.92775999999</v>
      </c>
      <c r="I38" s="9">
        <f t="shared" si="22"/>
        <v>91313.165119999991</v>
      </c>
      <c r="J38" s="9">
        <f t="shared" si="22"/>
        <v>104649.56313999998</v>
      </c>
      <c r="K38" s="9">
        <f t="shared" si="22"/>
        <v>94983.217819999976</v>
      </c>
      <c r="L38" s="9">
        <f t="shared" si="22"/>
        <v>89725.405419999981</v>
      </c>
      <c r="M38" s="9">
        <f t="shared" si="22"/>
        <v>78785.037620000003</v>
      </c>
      <c r="N38" s="9">
        <f>SUM(B38:M38)</f>
        <v>983965.42237999989</v>
      </c>
    </row>
    <row r="39" spans="1:14" ht="23.25" customHeight="1" thickBot="1" x14ac:dyDescent="0.3">
      <c r="A39" s="3" t="s">
        <v>5</v>
      </c>
      <c r="B39" s="17">
        <f t="shared" ref="B39:N39" si="23">B14-B38</f>
        <v>10540.704660000003</v>
      </c>
      <c r="C39" s="17">
        <f t="shared" si="23"/>
        <v>6731.9027200000128</v>
      </c>
      <c r="D39" s="17">
        <f t="shared" si="23"/>
        <v>518.26681999998982</v>
      </c>
      <c r="E39" s="17">
        <f t="shared" si="23"/>
        <v>-22630.881779999996</v>
      </c>
      <c r="F39" s="17">
        <f t="shared" si="23"/>
        <v>466.14352000001236</v>
      </c>
      <c r="G39" s="17">
        <f t="shared" si="23"/>
        <v>8493.0385600000154</v>
      </c>
      <c r="H39" s="17">
        <f t="shared" si="23"/>
        <v>4946.9622399999935</v>
      </c>
      <c r="I39" s="17">
        <f t="shared" si="23"/>
        <v>20714.724880000009</v>
      </c>
      <c r="J39" s="17">
        <f t="shared" si="23"/>
        <v>4885.0668600000208</v>
      </c>
      <c r="K39" s="17">
        <f t="shared" si="23"/>
        <v>28390.752180000025</v>
      </c>
      <c r="L39" s="17">
        <f t="shared" si="23"/>
        <v>14259.494580000013</v>
      </c>
      <c r="M39" s="17">
        <f t="shared" si="23"/>
        <v>37795.602379999997</v>
      </c>
      <c r="N39" s="10">
        <f t="shared" si="23"/>
        <v>115111.77762000007</v>
      </c>
    </row>
    <row r="40" spans="1:14" ht="23.25" customHeight="1" thickBot="1" x14ac:dyDescent="0.3">
      <c r="A40" s="3" t="s">
        <v>7</v>
      </c>
      <c r="B40" s="13">
        <f t="shared" ref="B40:N40" si="24">B4+B39</f>
        <v>185545.27466</v>
      </c>
      <c r="C40" s="13">
        <f t="shared" si="24"/>
        <v>192277.17738000001</v>
      </c>
      <c r="D40" s="13">
        <f t="shared" si="24"/>
        <v>192795.4442</v>
      </c>
      <c r="E40" s="13">
        <f t="shared" si="24"/>
        <v>170164.56242</v>
      </c>
      <c r="F40" s="13">
        <f t="shared" si="24"/>
        <v>170630.70594000001</v>
      </c>
      <c r="G40" s="13">
        <f t="shared" si="24"/>
        <v>179123.74450000003</v>
      </c>
      <c r="H40" s="13">
        <f t="shared" si="24"/>
        <v>184070.70674000002</v>
      </c>
      <c r="I40" s="13">
        <f t="shared" si="24"/>
        <v>204785.43162000005</v>
      </c>
      <c r="J40" s="13">
        <f t="shared" si="24"/>
        <v>209670.49848000007</v>
      </c>
      <c r="K40" s="13">
        <f t="shared" si="24"/>
        <v>238061.25066000008</v>
      </c>
      <c r="L40" s="13">
        <f t="shared" si="24"/>
        <v>252320.74524000008</v>
      </c>
      <c r="M40" s="13">
        <f t="shared" si="24"/>
        <v>290116.34762000007</v>
      </c>
      <c r="N40" s="13">
        <f t="shared" si="24"/>
        <v>290116.34762000007</v>
      </c>
    </row>
    <row r="41" spans="1:14" ht="23.25" customHeight="1" thickBot="1" x14ac:dyDescent="0.3">
      <c r="A41" s="3" t="s">
        <v>41</v>
      </c>
      <c r="B41" s="10">
        <v>0</v>
      </c>
      <c r="C41" s="10">
        <v>0</v>
      </c>
      <c r="D41" s="10">
        <v>15363.52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f>SUM(B41:M41)</f>
        <v>15363.52</v>
      </c>
    </row>
    <row r="42" spans="1:14" ht="27" customHeight="1" thickBot="1" x14ac:dyDescent="0.3">
      <c r="A42" s="14" t="s">
        <v>11</v>
      </c>
      <c r="B42" s="18">
        <f t="shared" ref="B42:C42" si="25">B5+B14-B6</f>
        <v>-41646.61</v>
      </c>
      <c r="C42" s="18">
        <f t="shared" si="25"/>
        <v>-44816.509999999995</v>
      </c>
      <c r="D42" s="18">
        <f>D5+D14-D6+D41</f>
        <v>-32787.360000000001</v>
      </c>
      <c r="E42" s="18">
        <f t="shared" ref="E42:N42" si="26">E5+E14-E6+E41</f>
        <v>-32276.11</v>
      </c>
      <c r="F42" s="18">
        <f t="shared" si="26"/>
        <v>-32683.369999999995</v>
      </c>
      <c r="G42" s="18">
        <f t="shared" si="26"/>
        <v>-72419.389999999985</v>
      </c>
      <c r="H42" s="18">
        <f t="shared" si="26"/>
        <v>-84200.81</v>
      </c>
      <c r="I42" s="18">
        <f t="shared" si="26"/>
        <v>-84143.59</v>
      </c>
      <c r="J42" s="18">
        <f t="shared" si="26"/>
        <v>-91458.7</v>
      </c>
      <c r="K42" s="18">
        <f t="shared" si="26"/>
        <v>-89586.95</v>
      </c>
      <c r="L42" s="18">
        <f t="shared" si="26"/>
        <v>-97372.72</v>
      </c>
      <c r="M42" s="18">
        <f t="shared" si="26"/>
        <v>-92562.75</v>
      </c>
      <c r="N42" s="18">
        <f t="shared" si="26"/>
        <v>-92562.750000000015</v>
      </c>
    </row>
  </sheetData>
  <mergeCells count="1">
    <mergeCell ref="A1:N1"/>
  </mergeCells>
  <phoneticPr fontId="2" type="noConversion"/>
  <pageMargins left="0.19685039370078741" right="0.19685039370078741" top="0.19685039370078741" bottom="0.19685039370078741" header="0.51181102362204722" footer="0.51181102362204722"/>
  <pageSetup paperSize="9" scale="6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2026-02-12T08:42:05Z</cp:lastPrinted>
  <dcterms:created xsi:type="dcterms:W3CDTF">2011-06-06T03:25:48Z</dcterms:created>
  <dcterms:modified xsi:type="dcterms:W3CDTF">2026-02-12T08:48:24Z</dcterms:modified>
</cp:coreProperties>
</file>