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M40" i="1" l="1"/>
  <c r="L40" i="1" l="1"/>
  <c r="K40" i="1" l="1"/>
  <c r="K34" i="1" l="1"/>
  <c r="L34" i="1"/>
  <c r="M34" i="1"/>
  <c r="M29" i="1" l="1"/>
  <c r="M17" i="1"/>
  <c r="M28" i="1"/>
  <c r="M8" i="1"/>
  <c r="L29" i="1" l="1"/>
  <c r="L17" i="1"/>
  <c r="L28" i="1"/>
  <c r="L8" i="1"/>
  <c r="K29" i="1" l="1"/>
  <c r="K17" i="1"/>
  <c r="K28" i="1"/>
  <c r="K8" i="1"/>
  <c r="K35" i="1" l="1"/>
  <c r="L35" i="1"/>
  <c r="M35" i="1"/>
  <c r="K30" i="1"/>
  <c r="L30" i="1"/>
  <c r="M30" i="1"/>
  <c r="K27" i="1"/>
  <c r="L27" i="1"/>
  <c r="M27" i="1"/>
  <c r="K26" i="1"/>
  <c r="L26" i="1"/>
  <c r="M26" i="1"/>
  <c r="H40" i="1" l="1"/>
  <c r="H24" i="1" l="1"/>
  <c r="I24" i="1"/>
  <c r="H15" i="1"/>
  <c r="I15" i="1"/>
  <c r="J15" i="1"/>
  <c r="C24" i="1" l="1"/>
  <c r="D24" i="1"/>
  <c r="E24" i="1"/>
  <c r="F24" i="1"/>
  <c r="G24" i="1"/>
  <c r="B24" i="1"/>
  <c r="C15" i="1"/>
  <c r="D15" i="1"/>
  <c r="E15" i="1"/>
  <c r="F15" i="1"/>
  <c r="G15" i="1"/>
  <c r="B15" i="1"/>
  <c r="J40" i="1" l="1"/>
  <c r="I34" i="1" l="1"/>
  <c r="J34" i="1"/>
  <c r="H34" i="1"/>
  <c r="I40" i="1" l="1"/>
  <c r="J29" i="1" l="1"/>
  <c r="J17" i="1"/>
  <c r="J28" i="1"/>
  <c r="J8" i="1"/>
  <c r="I29" i="1" l="1"/>
  <c r="I17" i="1"/>
  <c r="I28" i="1"/>
  <c r="I8" i="1"/>
  <c r="H29" i="1" l="1"/>
  <c r="H17" i="1"/>
  <c r="H28" i="1"/>
  <c r="H8" i="1"/>
  <c r="H35" i="1"/>
  <c r="I35" i="1"/>
  <c r="J35" i="1"/>
  <c r="H30" i="1"/>
  <c r="I30" i="1"/>
  <c r="J30" i="1"/>
  <c r="H27" i="1"/>
  <c r="I27" i="1"/>
  <c r="J27" i="1"/>
  <c r="H26" i="1"/>
  <c r="I26" i="1"/>
  <c r="J26" i="1"/>
  <c r="F40" i="1" l="1"/>
  <c r="E34" i="1" l="1"/>
  <c r="F34" i="1"/>
  <c r="G34" i="1"/>
  <c r="G40" i="1" l="1"/>
  <c r="E40" i="1" l="1"/>
  <c r="G29" i="1" l="1"/>
  <c r="G17" i="1"/>
  <c r="F8" i="1"/>
  <c r="G28" i="1"/>
  <c r="G8" i="1"/>
  <c r="F29" i="1" l="1"/>
  <c r="F17" i="1"/>
  <c r="F28" i="1"/>
  <c r="E29" i="1" l="1"/>
  <c r="E17" i="1"/>
  <c r="E28" i="1"/>
  <c r="E8" i="1"/>
  <c r="G35" i="1" l="1"/>
  <c r="E35" i="1" l="1"/>
  <c r="F35" i="1"/>
  <c r="E30" i="1"/>
  <c r="F30" i="1"/>
  <c r="G30" i="1"/>
  <c r="E27" i="1"/>
  <c r="F27" i="1"/>
  <c r="G27" i="1"/>
  <c r="E26" i="1"/>
  <c r="F26" i="1"/>
  <c r="G26" i="1"/>
  <c r="N36" i="1" l="1"/>
  <c r="N37" i="1"/>
  <c r="C34" i="1" l="1"/>
  <c r="D34" i="1"/>
  <c r="B34" i="1"/>
  <c r="D40" i="1" l="1"/>
  <c r="B40" i="1" l="1"/>
  <c r="C30" i="1" l="1"/>
  <c r="D30" i="1"/>
  <c r="B30" i="1"/>
  <c r="D28" i="1"/>
  <c r="C28" i="1"/>
  <c r="D27" i="1"/>
  <c r="C27" i="1"/>
  <c r="D29" i="1"/>
  <c r="D17" i="1"/>
  <c r="D8" i="1"/>
  <c r="C35" i="1"/>
  <c r="D35" i="1"/>
  <c r="B35" i="1"/>
  <c r="B27" i="1"/>
  <c r="C26" i="1"/>
  <c r="D26" i="1"/>
  <c r="B26" i="1"/>
  <c r="C29" i="1"/>
  <c r="C17" i="1"/>
  <c r="C8" i="1"/>
  <c r="B29" i="1"/>
  <c r="B17" i="1"/>
  <c r="B28" i="1"/>
  <c r="B8" i="1"/>
  <c r="N23" i="1"/>
  <c r="N14" i="1"/>
  <c r="N6" i="1"/>
  <c r="N5" i="1"/>
  <c r="M7" i="1"/>
  <c r="N8" i="1"/>
  <c r="K7" i="1"/>
  <c r="N26" i="1"/>
  <c r="N27" i="1"/>
  <c r="N30" i="1"/>
  <c r="N31" i="1"/>
  <c r="N32" i="1"/>
  <c r="N33" i="1"/>
  <c r="N34" i="1"/>
  <c r="N35" i="1"/>
  <c r="N38" i="1"/>
  <c r="N39" i="1"/>
  <c r="N40" i="1"/>
  <c r="N18" i="1"/>
  <c r="N19" i="1"/>
  <c r="N20" i="1"/>
  <c r="N21" i="1"/>
  <c r="N22" i="1"/>
  <c r="N24" i="1"/>
  <c r="N17" i="1"/>
  <c r="K16" i="1"/>
  <c r="L16" i="1"/>
  <c r="M16" i="1"/>
  <c r="N9" i="1"/>
  <c r="N10" i="1"/>
  <c r="N11" i="1"/>
  <c r="N12" i="1"/>
  <c r="N13" i="1"/>
  <c r="N15" i="1"/>
  <c r="M41" i="1"/>
  <c r="L41" i="1"/>
  <c r="L7" i="1"/>
  <c r="K41" i="1"/>
  <c r="N29" i="1"/>
  <c r="H16" i="1"/>
  <c r="I16" i="1"/>
  <c r="J16" i="1"/>
  <c r="H7" i="1"/>
  <c r="J41" i="1"/>
  <c r="J7" i="1"/>
  <c r="I7" i="1"/>
  <c r="I41" i="1"/>
  <c r="H41" i="1"/>
  <c r="N28" i="1"/>
  <c r="E16" i="1"/>
  <c r="F16" i="1"/>
  <c r="G16" i="1"/>
  <c r="E7" i="1"/>
  <c r="F7" i="1"/>
  <c r="G7" i="1"/>
  <c r="D16" i="1"/>
  <c r="D7" i="1"/>
  <c r="C16" i="1"/>
  <c r="C7" i="1"/>
  <c r="B16" i="1"/>
  <c r="B7" i="1"/>
  <c r="G41" i="1"/>
  <c r="F41" i="1"/>
  <c r="D41" i="1"/>
  <c r="C41" i="1"/>
  <c r="E41" i="1"/>
  <c r="B41" i="1"/>
  <c r="L42" i="1" l="1"/>
  <c r="D42" i="1"/>
  <c r="I42" i="1"/>
  <c r="H42" i="1"/>
  <c r="G42" i="1"/>
  <c r="C42" i="1"/>
  <c r="B44" i="1"/>
  <c r="C6" i="1" s="1"/>
  <c r="C44" i="1" s="1"/>
  <c r="D6" i="1" s="1"/>
  <c r="D44" i="1" s="1"/>
  <c r="E6" i="1" s="1"/>
  <c r="E44" i="1" s="1"/>
  <c r="F6" i="1" s="1"/>
  <c r="F44" i="1" s="1"/>
  <c r="G6" i="1" s="1"/>
  <c r="G44" i="1" s="1"/>
  <c r="H6" i="1" s="1"/>
  <c r="H44" i="1" s="1"/>
  <c r="I6" i="1" s="1"/>
  <c r="I44" i="1" s="1"/>
  <c r="J6" i="1" s="1"/>
  <c r="J44" i="1" s="1"/>
  <c r="K6" i="1" s="1"/>
  <c r="K44" i="1" s="1"/>
  <c r="L6" i="1" s="1"/>
  <c r="L44" i="1" s="1"/>
  <c r="M6" i="1" s="1"/>
  <c r="M44" i="1" s="1"/>
  <c r="K42" i="1"/>
  <c r="M42" i="1"/>
  <c r="J42" i="1"/>
  <c r="F42" i="1"/>
  <c r="E42" i="1"/>
  <c r="N41" i="1"/>
  <c r="N16" i="1"/>
  <c r="B42" i="1"/>
  <c r="B43" i="1" s="1"/>
  <c r="C43" i="1" s="1"/>
  <c r="N7" i="1"/>
  <c r="N44" i="1" l="1"/>
  <c r="N42" i="1"/>
  <c r="C5" i="1"/>
  <c r="N43" i="1"/>
  <c r="D5" i="1"/>
  <c r="D43" i="1"/>
  <c r="E43" i="1" l="1"/>
  <c r="E5" i="1"/>
  <c r="F43" i="1" l="1"/>
  <c r="F5" i="1"/>
  <c r="G5" i="1" l="1"/>
  <c r="G43" i="1"/>
  <c r="H5" i="1" l="1"/>
  <c r="H43" i="1"/>
  <c r="I5" i="1" l="1"/>
  <c r="I43" i="1"/>
  <c r="J43" i="1" l="1"/>
  <c r="J5" i="1"/>
  <c r="K5" i="1" l="1"/>
  <c r="K43" i="1"/>
  <c r="L5" i="1" l="1"/>
  <c r="L43" i="1"/>
  <c r="M5" i="1" l="1"/>
  <c r="M43" i="1"/>
</calcChain>
</file>

<file path=xl/comments1.xml><?xml version="1.0" encoding="utf-8"?>
<comments xmlns="http://schemas.openxmlformats.org/spreadsheetml/2006/main">
  <authors>
    <author>User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<sst xmlns="http://schemas.openxmlformats.org/spreadsheetml/2006/main" count="55" uniqueCount="47">
  <si>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</si>
  <si>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</si>
  <si>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</si>
  <si>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</si>
  <si>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</si>
  <si>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</si>
  <si>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</si>
  <si>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</si>
  <si>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</si>
  <si>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</si>
  <si>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</si>
  <si>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</si>
  <si>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</si>
  <si>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</si>
  <si>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</si>
  <si>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</si>
  <si>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</si>
  <si>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</si>
  <si>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</si>
  <si>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</si>
  <si>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</si>
  <si>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</si>
  <si>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</si>
  <si>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</si>
  <si>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</si>
  <si>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 xml:space="preserve">Тех.обслуживание ОПУ </t>
  </si>
  <si>
    <t>Отведение сточных вод ОИ</t>
  </si>
  <si>
    <t>Содержание жилья и текущий ремонт,  ОПУ</t>
  </si>
  <si>
    <t xml:space="preserve">Содержание жилья и текущий ремонт,  ОПУ </t>
  </si>
  <si>
    <t>Возмещение расходов совета МКД</t>
  </si>
  <si>
    <t>Видеонаблюдение</t>
  </si>
  <si>
    <t>Январь 2025г.</t>
  </si>
  <si>
    <t>Февраль 2025г.</t>
  </si>
  <si>
    <t>Март 2025г.</t>
  </si>
  <si>
    <t>Апрель 2025г</t>
  </si>
  <si>
    <t>Май 2025г</t>
  </si>
  <si>
    <t>Июнь 2025г.</t>
  </si>
  <si>
    <t>Июль 2025г.</t>
  </si>
  <si>
    <t>Август 2025г.</t>
  </si>
  <si>
    <t>Сентябрь 2025г.</t>
  </si>
  <si>
    <t>Октябрь 2025г</t>
  </si>
  <si>
    <t>Ноябрь 2025г</t>
  </si>
  <si>
    <t>Декабрь 2025г</t>
  </si>
  <si>
    <t>Всего:                       за  2025г</t>
  </si>
  <si>
    <t>Услуги видеонаблюдения</t>
  </si>
  <si>
    <t>Целевой сбор</t>
  </si>
  <si>
    <t xml:space="preserve">      ОТЧЕТ по дому Васильева, 49 за период 01.01.2025г. по 31.12.2025г.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</si>
</sst>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5" fillId="0" borderId="0" xfId="0" applyFont="1"/>
    <xf numFmtId="0" fontId="0" fillId="0" borderId="0" xfId="0" applyBorder="1"/>
    <xf numFmtId="0" fontId="6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left"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6" fillId="0" borderId="6" xfId="0" applyNumberFormat="1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164" fontId="6" fillId="0" borderId="4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topLeftCell="A28" zoomScale="75" workbookViewId="0">
      <selection activeCell="A28" sqref="A1:H1048576"/>
    </sheetView>
  </sheetViews>
  <sheetFormatPr defaultRowHeight="13.2" x14ac:dyDescent="0.25"/>
  <cols>
    <col min="1" max="1" width="58.6640625" customWidth="1"/>
    <col min="2" max="2" width="14.33203125" customWidth="1"/>
    <col min="3" max="3" width="15" customWidth="1"/>
    <col min="4" max="4" width="14.109375" customWidth="1"/>
    <col min="5" max="5" width="14.88671875" customWidth="1"/>
    <col min="6" max="6" width="14.33203125" customWidth="1"/>
    <col min="7" max="7" width="14.109375" customWidth="1"/>
    <col min="8" max="13" width="14.33203125" customWidth="1"/>
    <col min="14" max="14" width="16.77734375" customWidth="1"/>
  </cols>
  <sheetData>
    <row r="1" spans="1:18" ht="20.25" customHeight="1" x14ac:dyDescent="0.4">
      <c r="A1" s="23" t="s">
        <v>46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31</v>
      </c>
      <c r="C4" s="6" t="s">
        <v>32</v>
      </c>
      <c r="D4" s="6" t="s">
        <v>33</v>
      </c>
      <c r="E4" s="6" t="s">
        <v>34</v>
      </c>
      <c r="F4" s="6" t="s">
        <v>35</v>
      </c>
      <c r="G4" s="6" t="s">
        <v>36</v>
      </c>
      <c r="H4" s="6" t="s">
        <v>37</v>
      </c>
      <c r="I4" s="6" t="s">
        <v>38</v>
      </c>
      <c r="J4" s="6" t="s">
        <v>39</v>
      </c>
      <c r="K4" s="6" t="s">
        <v>40</v>
      </c>
      <c r="L4" s="6" t="s">
        <v>41</v>
      </c>
      <c r="M4" s="6" t="s">
        <v>42</v>
      </c>
      <c r="N4" s="6" t="s">
        <v>43</v>
      </c>
    </row>
    <row r="5" spans="1:18" ht="23.25" customHeight="1" thickBot="1" x14ac:dyDescent="0.3">
      <c r="A5" s="7" t="s">
        <v>16</v>
      </c>
      <c r="B5" s="20">
        <v>-279607.25</v>
      </c>
      <c r="C5" s="20">
        <f t="shared" ref="C5:D6" si="0">B43</f>
        <v>-274542.24667000002</v>
      </c>
      <c r="D5" s="20">
        <f t="shared" si="0"/>
        <v>-251838.50281000003</v>
      </c>
      <c r="E5" s="20">
        <f t="shared" ref="E5:E6" si="1">D43</f>
        <v>-269746.46885000006</v>
      </c>
      <c r="F5" s="20">
        <f t="shared" ref="F5:F6" si="2">E43</f>
        <v>-412581.3712900001</v>
      </c>
      <c r="G5" s="20">
        <f t="shared" ref="G5:G6" si="3">F43</f>
        <v>-500056.05553000013</v>
      </c>
      <c r="H5" s="20">
        <f t="shared" ref="H5:H6" si="4">G43</f>
        <v>-527382.20811000012</v>
      </c>
      <c r="I5" s="20">
        <f t="shared" ref="I5:I6" si="5">H43</f>
        <v>-672312.15687000006</v>
      </c>
      <c r="J5" s="20">
        <f t="shared" ref="J5:J6" si="6">I43</f>
        <v>-647907.1454700001</v>
      </c>
      <c r="K5" s="20">
        <f t="shared" ref="K5:K6" si="7">J43</f>
        <v>-619036.03397000011</v>
      </c>
      <c r="L5" s="20">
        <f t="shared" ref="L5:L6" si="8">K43</f>
        <v>-611082.37491000013</v>
      </c>
      <c r="M5" s="20">
        <f t="shared" ref="M5:M6" si="9">L43</f>
        <v>-609512.20331000013</v>
      </c>
      <c r="N5" s="20">
        <f>B5</f>
        <v>-279607.25</v>
      </c>
    </row>
    <row r="6" spans="1:18" ht="21" customHeight="1" thickBot="1" x14ac:dyDescent="0.3">
      <c r="A6" s="7" t="s">
        <v>13</v>
      </c>
      <c r="B6" s="20">
        <v>-190249.93</v>
      </c>
      <c r="C6" s="20">
        <f t="shared" si="0"/>
        <v>-195791.98000000004</v>
      </c>
      <c r="D6" s="20">
        <f t="shared" si="0"/>
        <v>-191891.41000000003</v>
      </c>
      <c r="E6" s="20">
        <f t="shared" si="1"/>
        <v>-189069.51000000007</v>
      </c>
      <c r="F6" s="20">
        <f t="shared" si="2"/>
        <v>-180603.7300000001</v>
      </c>
      <c r="G6" s="20">
        <f t="shared" si="3"/>
        <v>-228221.8900000001</v>
      </c>
      <c r="H6" s="20">
        <f t="shared" si="4"/>
        <v>-228114.4200000001</v>
      </c>
      <c r="I6" s="20">
        <f t="shared" si="5"/>
        <v>-227161.72000000009</v>
      </c>
      <c r="J6" s="20">
        <f t="shared" si="6"/>
        <v>-240127.82000000012</v>
      </c>
      <c r="K6" s="20">
        <f t="shared" si="7"/>
        <v>-221313.03000000014</v>
      </c>
      <c r="L6" s="20">
        <f t="shared" si="8"/>
        <v>-241052.86000000016</v>
      </c>
      <c r="M6" s="20">
        <f t="shared" si="9"/>
        <v>-233327.42000000016</v>
      </c>
      <c r="N6" s="20">
        <f>B6</f>
        <v>-190249.93</v>
      </c>
    </row>
    <row r="7" spans="1:18" ht="20.25" customHeight="1" thickBot="1" x14ac:dyDescent="0.3">
      <c r="A7" s="8" t="s">
        <v>12</v>
      </c>
      <c r="B7" s="11">
        <f>SUM(B8:B15)</f>
        <v>87847.890000000014</v>
      </c>
      <c r="C7" s="11">
        <f>SUM(C8:C15)</f>
        <v>83961.590000000011</v>
      </c>
      <c r="D7" s="11">
        <f>SUM(D8:D15)</f>
        <v>83961.590000000011</v>
      </c>
      <c r="E7" s="11">
        <f t="shared" ref="E7:M7" si="10">SUM(E8:E15)</f>
        <v>83961.590000000011</v>
      </c>
      <c r="F7" s="11">
        <f t="shared" si="10"/>
        <v>127961.59000000001</v>
      </c>
      <c r="G7" s="11">
        <f t="shared" si="10"/>
        <v>107689.08</v>
      </c>
      <c r="H7" s="11">
        <f t="shared" si="10"/>
        <v>102339.96</v>
      </c>
      <c r="I7" s="11">
        <f t="shared" si="10"/>
        <v>108019.85000000002</v>
      </c>
      <c r="J7" s="11">
        <f t="shared" si="10"/>
        <v>102367.05000000002</v>
      </c>
      <c r="K7" s="11">
        <f t="shared" si="10"/>
        <v>111444.39000000001</v>
      </c>
      <c r="L7" s="11">
        <f t="shared" si="10"/>
        <v>102164.2</v>
      </c>
      <c r="M7" s="11">
        <f t="shared" si="10"/>
        <v>102164.2</v>
      </c>
      <c r="N7" s="11">
        <f>SUM(B7:M7)</f>
        <v>1203882.98</v>
      </c>
    </row>
    <row r="8" spans="1:18" ht="24.75" customHeight="1" thickBot="1" x14ac:dyDescent="0.3">
      <c r="A8" s="4" t="s">
        <v>27</v>
      </c>
      <c r="B8" s="12">
        <f>78856.55+1483.85</f>
        <v>80340.400000000009</v>
      </c>
      <c r="C8" s="12">
        <f>78856.55+1483.85</f>
        <v>80340.400000000009</v>
      </c>
      <c r="D8" s="12">
        <f>78856.55+1483.85</f>
        <v>80340.400000000009</v>
      </c>
      <c r="E8" s="12">
        <f>78856.55+1483.85</f>
        <v>80340.400000000009</v>
      </c>
      <c r="F8" s="12">
        <f>78856.55+1483.85</f>
        <v>80340.400000000009</v>
      </c>
      <c r="G8" s="12">
        <f>97157.5+1483.85</f>
        <v>98641.35</v>
      </c>
      <c r="H8" s="12">
        <f>97157.5+1483.85</f>
        <v>98641.35</v>
      </c>
      <c r="I8" s="12">
        <f>97157.5+1483.85</f>
        <v>98641.35</v>
      </c>
      <c r="J8" s="12">
        <f>97157.5+1483.85</f>
        <v>98641.35</v>
      </c>
      <c r="K8" s="12">
        <f>97157.5+1483.85</f>
        <v>98641.35</v>
      </c>
      <c r="L8" s="12">
        <f>97154.75+1483.8</f>
        <v>98638.55</v>
      </c>
      <c r="M8" s="12">
        <f>97154.75+1483.8</f>
        <v>98638.55</v>
      </c>
      <c r="N8" s="12">
        <f>SUM(B8:M8)</f>
        <v>1092185.8500000001</v>
      </c>
    </row>
    <row r="9" spans="1:18" ht="22.2" customHeight="1" thickBot="1" x14ac:dyDescent="0.3">
      <c r="A9" s="4" t="s">
        <v>17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f t="shared" ref="N9:N15" si="11">SUM(B9:M9)</f>
        <v>0</v>
      </c>
    </row>
    <row r="10" spans="1:18" ht="24.75" customHeight="1" thickBot="1" x14ac:dyDescent="0.3">
      <c r="A10" s="4" t="s">
        <v>18</v>
      </c>
      <c r="B10" s="12">
        <v>258.63</v>
      </c>
      <c r="C10" s="12">
        <v>258.63</v>
      </c>
      <c r="D10" s="12">
        <v>258.63</v>
      </c>
      <c r="E10" s="12">
        <v>258.63</v>
      </c>
      <c r="F10" s="12">
        <v>258.63</v>
      </c>
      <c r="G10" s="12">
        <v>258.63</v>
      </c>
      <c r="H10" s="12">
        <v>336.05</v>
      </c>
      <c r="I10" s="12">
        <v>336.05</v>
      </c>
      <c r="J10" s="12">
        <v>336.05</v>
      </c>
      <c r="K10" s="12">
        <v>336.05</v>
      </c>
      <c r="L10" s="12">
        <v>336.04</v>
      </c>
      <c r="M10" s="12">
        <v>336.04</v>
      </c>
      <c r="N10" s="12">
        <f t="shared" si="11"/>
        <v>3568.0600000000004</v>
      </c>
    </row>
    <row r="11" spans="1:18" ht="24.75" customHeight="1" thickBot="1" x14ac:dyDescent="0.3">
      <c r="A11" s="4" t="s">
        <v>19</v>
      </c>
      <c r="B11" s="12">
        <v>3886.3</v>
      </c>
      <c r="C11" s="12">
        <v>0</v>
      </c>
      <c r="D11" s="12">
        <v>0</v>
      </c>
      <c r="E11" s="12">
        <v>0</v>
      </c>
      <c r="F11" s="12">
        <v>0</v>
      </c>
      <c r="G11" s="12">
        <v>5426.54</v>
      </c>
      <c r="H11" s="12">
        <v>0</v>
      </c>
      <c r="I11" s="12">
        <v>5652.8</v>
      </c>
      <c r="J11" s="12">
        <v>0</v>
      </c>
      <c r="K11" s="12">
        <v>9277.34</v>
      </c>
      <c r="L11" s="12">
        <v>0</v>
      </c>
      <c r="M11" s="12">
        <v>0</v>
      </c>
      <c r="N11" s="12">
        <f t="shared" si="11"/>
        <v>24242.98</v>
      </c>
    </row>
    <row r="12" spans="1:18" ht="24.75" customHeight="1" thickBot="1" x14ac:dyDescent="0.3">
      <c r="A12" s="4" t="s">
        <v>26</v>
      </c>
      <c r="B12" s="12">
        <v>260.73</v>
      </c>
      <c r="C12" s="12">
        <v>260.73</v>
      </c>
      <c r="D12" s="12">
        <v>260.73</v>
      </c>
      <c r="E12" s="12">
        <v>260.73</v>
      </c>
      <c r="F12" s="12">
        <v>260.73</v>
      </c>
      <c r="G12" s="12">
        <v>260.73</v>
      </c>
      <c r="H12" s="12">
        <v>260.73</v>
      </c>
      <c r="I12" s="12">
        <v>287.82</v>
      </c>
      <c r="J12" s="12">
        <v>287.82</v>
      </c>
      <c r="K12" s="12">
        <v>287.82</v>
      </c>
      <c r="L12" s="12">
        <v>287.83</v>
      </c>
      <c r="M12" s="12">
        <v>287.83</v>
      </c>
      <c r="N12" s="12">
        <f t="shared" si="11"/>
        <v>3264.2300000000005</v>
      </c>
    </row>
    <row r="13" spans="1:18" ht="24.75" customHeight="1" thickBot="1" x14ac:dyDescent="0.3">
      <c r="A13" s="4" t="s">
        <v>30</v>
      </c>
      <c r="B13" s="12">
        <v>1801.83</v>
      </c>
      <c r="C13" s="12">
        <v>1801.83</v>
      </c>
      <c r="D13" s="12">
        <v>1801.83</v>
      </c>
      <c r="E13" s="12">
        <v>1801.83</v>
      </c>
      <c r="F13" s="12">
        <v>1801.83</v>
      </c>
      <c r="G13" s="12">
        <v>1801.83</v>
      </c>
      <c r="H13" s="12">
        <v>1801.83</v>
      </c>
      <c r="I13" s="12">
        <v>1801.83</v>
      </c>
      <c r="J13" s="12">
        <v>1801.83</v>
      </c>
      <c r="K13" s="12">
        <v>1801.83</v>
      </c>
      <c r="L13" s="12">
        <v>1801.78</v>
      </c>
      <c r="M13" s="12">
        <v>1801.78</v>
      </c>
      <c r="N13" s="12">
        <f t="shared" si="11"/>
        <v>21621.859999999997</v>
      </c>
    </row>
    <row r="14" spans="1:18" ht="24.75" customHeight="1" thickBot="1" x14ac:dyDescent="0.3">
      <c r="A14" s="21" t="s">
        <v>45</v>
      </c>
      <c r="B14" s="12">
        <v>0</v>
      </c>
      <c r="C14" s="12">
        <v>0</v>
      </c>
      <c r="D14" s="12">
        <v>0</v>
      </c>
      <c r="E14" s="12">
        <v>0</v>
      </c>
      <c r="F14" s="12">
        <v>44000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f t="shared" si="11"/>
        <v>44000</v>
      </c>
    </row>
    <row r="15" spans="1:18" ht="24.75" customHeight="1" thickBot="1" x14ac:dyDescent="0.3">
      <c r="A15" s="4" t="s">
        <v>15</v>
      </c>
      <c r="B15" s="12">
        <f>1600-300</f>
        <v>1300</v>
      </c>
      <c r="C15" s="12">
        <f t="shared" ref="C15:J15" si="12">1600-300</f>
        <v>1300</v>
      </c>
      <c r="D15" s="12">
        <f t="shared" si="12"/>
        <v>1300</v>
      </c>
      <c r="E15" s="12">
        <f t="shared" si="12"/>
        <v>1300</v>
      </c>
      <c r="F15" s="12">
        <f t="shared" si="12"/>
        <v>1300</v>
      </c>
      <c r="G15" s="12">
        <f t="shared" si="12"/>
        <v>1300</v>
      </c>
      <c r="H15" s="12">
        <f t="shared" si="12"/>
        <v>1300</v>
      </c>
      <c r="I15" s="12">
        <f t="shared" si="12"/>
        <v>1300</v>
      </c>
      <c r="J15" s="12">
        <f t="shared" si="12"/>
        <v>1300</v>
      </c>
      <c r="K15" s="12">
        <v>1100</v>
      </c>
      <c r="L15" s="12">
        <v>1100</v>
      </c>
      <c r="M15" s="12">
        <v>1100</v>
      </c>
      <c r="N15" s="12">
        <f t="shared" si="11"/>
        <v>15000</v>
      </c>
    </row>
    <row r="16" spans="1:18" ht="20.25" customHeight="1" thickBot="1" x14ac:dyDescent="0.3">
      <c r="A16" s="9" t="s">
        <v>8</v>
      </c>
      <c r="B16" s="13">
        <f>SUM(B17:B24)</f>
        <v>82305.839999999982</v>
      </c>
      <c r="C16" s="13">
        <f>SUM(C17:C24)</f>
        <v>87862.16</v>
      </c>
      <c r="D16" s="13">
        <f>SUM(D17:D24)</f>
        <v>86783.489999999991</v>
      </c>
      <c r="E16" s="13">
        <f t="shared" ref="E16:M16" si="13">SUM(E17:E24)</f>
        <v>92427.369999999981</v>
      </c>
      <c r="F16" s="13">
        <f t="shared" si="13"/>
        <v>80343.430000000008</v>
      </c>
      <c r="G16" s="13">
        <f t="shared" si="13"/>
        <v>107796.54999999999</v>
      </c>
      <c r="H16" s="13">
        <f t="shared" si="13"/>
        <v>103292.66</v>
      </c>
      <c r="I16" s="13">
        <f t="shared" si="13"/>
        <v>95053.749999999985</v>
      </c>
      <c r="J16" s="13">
        <f t="shared" si="13"/>
        <v>121181.84</v>
      </c>
      <c r="K16" s="13">
        <f t="shared" si="13"/>
        <v>91704.56</v>
      </c>
      <c r="L16" s="13">
        <f t="shared" si="13"/>
        <v>109889.64000000001</v>
      </c>
      <c r="M16" s="13">
        <f t="shared" si="13"/>
        <v>102502.98</v>
      </c>
      <c r="N16" s="13">
        <f>SUM(B16:M16)</f>
        <v>1161144.27</v>
      </c>
    </row>
    <row r="17" spans="1:15" ht="24" customHeight="1" thickBot="1" x14ac:dyDescent="0.3">
      <c r="A17" s="4" t="s">
        <v>28</v>
      </c>
      <c r="B17" s="12">
        <f>74079.43+1490.48+20</f>
        <v>75589.909999999989</v>
      </c>
      <c r="C17" s="12">
        <f>79420.58+1410.19+50</f>
        <v>80880.77</v>
      </c>
      <c r="D17" s="12">
        <f>81371.66+1519.51</f>
        <v>82891.17</v>
      </c>
      <c r="E17" s="12">
        <f>86669.06+1718.54+20</f>
        <v>88407.599999999991</v>
      </c>
      <c r="F17" s="12">
        <f>75843.07+1413.31</f>
        <v>77256.38</v>
      </c>
      <c r="G17" s="12">
        <f>70467.93+1359.18+109.6</f>
        <v>71936.709999999992</v>
      </c>
      <c r="H17" s="12">
        <f>89670.39+1351.37</f>
        <v>91021.759999999995</v>
      </c>
      <c r="I17" s="12">
        <f>88877.72+1403.66</f>
        <v>90281.38</v>
      </c>
      <c r="J17" s="12">
        <f>107776.71+1661.43</f>
        <v>109438.14</v>
      </c>
      <c r="K17" s="12">
        <f>86508.66+1284.43</f>
        <v>87793.09</v>
      </c>
      <c r="L17" s="12">
        <f>96130.45+1404.96</f>
        <v>97535.41</v>
      </c>
      <c r="M17" s="12">
        <f>97134.94+1448.08</f>
        <v>98583.02</v>
      </c>
      <c r="N17" s="12">
        <f>SUM(B17:M17)</f>
        <v>1051615.3399999999</v>
      </c>
    </row>
    <row r="18" spans="1:15" ht="26.25" customHeight="1" thickBot="1" x14ac:dyDescent="0.3">
      <c r="A18" s="4" t="s">
        <v>17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f t="shared" ref="N18:N24" si="14">SUM(B18:M18)</f>
        <v>0</v>
      </c>
    </row>
    <row r="19" spans="1:15" ht="26.25" customHeight="1" thickBot="1" x14ac:dyDescent="0.3">
      <c r="A19" s="4" t="s">
        <v>18</v>
      </c>
      <c r="B19" s="12">
        <v>243.31</v>
      </c>
      <c r="C19" s="12">
        <v>259.55</v>
      </c>
      <c r="D19" s="12">
        <v>266.26</v>
      </c>
      <c r="E19" s="12">
        <v>283.27999999999997</v>
      </c>
      <c r="F19" s="12">
        <v>248.6</v>
      </c>
      <c r="G19" s="12">
        <v>227.75</v>
      </c>
      <c r="H19" s="12">
        <v>242.99</v>
      </c>
      <c r="I19" s="12">
        <v>305.68</v>
      </c>
      <c r="J19" s="12">
        <v>368.27</v>
      </c>
      <c r="K19" s="12">
        <v>294.08</v>
      </c>
      <c r="L19" s="12">
        <v>334.99</v>
      </c>
      <c r="M19" s="12">
        <v>335.2</v>
      </c>
      <c r="N19" s="12">
        <f t="shared" si="14"/>
        <v>3409.96</v>
      </c>
    </row>
    <row r="20" spans="1:15" ht="26.25" customHeight="1" thickBot="1" x14ac:dyDescent="0.3">
      <c r="A20" s="4" t="s">
        <v>19</v>
      </c>
      <c r="B20" s="12">
        <v>3572.85</v>
      </c>
      <c r="C20" s="12">
        <v>3868.56</v>
      </c>
      <c r="D20" s="12">
        <v>644.94000000000005</v>
      </c>
      <c r="E20" s="12">
        <v>554.25</v>
      </c>
      <c r="F20" s="12">
        <v>62.92</v>
      </c>
      <c r="G20" s="12">
        <v>185.24</v>
      </c>
      <c r="H20" s="12">
        <v>4707.95</v>
      </c>
      <c r="I20" s="12">
        <v>356.4</v>
      </c>
      <c r="J20" s="12">
        <v>5531.58</v>
      </c>
      <c r="K20" s="12">
        <v>196.75</v>
      </c>
      <c r="L20" s="12">
        <v>8374.42</v>
      </c>
      <c r="M20" s="12">
        <v>437.47</v>
      </c>
      <c r="N20" s="12">
        <f t="shared" si="14"/>
        <v>28493.33</v>
      </c>
    </row>
    <row r="21" spans="1:15" ht="26.25" customHeight="1" thickBot="1" x14ac:dyDescent="0.3">
      <c r="A21" s="4" t="s">
        <v>26</v>
      </c>
      <c r="B21" s="12">
        <v>13.18</v>
      </c>
      <c r="C21" s="12">
        <v>18.29</v>
      </c>
      <c r="D21" s="12">
        <v>28.61</v>
      </c>
      <c r="E21" s="12">
        <v>30.04</v>
      </c>
      <c r="F21" s="12">
        <v>5.45</v>
      </c>
      <c r="G21" s="12">
        <v>8.5399999999999991</v>
      </c>
      <c r="H21" s="12">
        <v>9.8800000000000008</v>
      </c>
      <c r="I21" s="12">
        <v>30.3</v>
      </c>
      <c r="J21" s="12">
        <v>249.93</v>
      </c>
      <c r="K21" s="12">
        <v>256.13</v>
      </c>
      <c r="L21" s="12">
        <v>288.20999999999998</v>
      </c>
      <c r="M21" s="12">
        <v>289.39999999999998</v>
      </c>
      <c r="N21" s="12">
        <f t="shared" si="14"/>
        <v>1227.96</v>
      </c>
    </row>
    <row r="22" spans="1:15" ht="26.25" customHeight="1" thickBot="1" x14ac:dyDescent="0.3">
      <c r="A22" s="4" t="s">
        <v>30</v>
      </c>
      <c r="B22" s="12">
        <v>1786.59</v>
      </c>
      <c r="C22" s="12">
        <v>1734.99</v>
      </c>
      <c r="D22" s="12">
        <v>1852.51</v>
      </c>
      <c r="E22" s="12">
        <v>2052.1999999999998</v>
      </c>
      <c r="F22" s="12">
        <v>1670.08</v>
      </c>
      <c r="G22" s="12">
        <v>1638.31</v>
      </c>
      <c r="H22" s="12">
        <v>1710.08</v>
      </c>
      <c r="I22" s="12">
        <v>1612.48</v>
      </c>
      <c r="J22" s="12">
        <v>1993.92</v>
      </c>
      <c r="K22" s="12">
        <v>1514.51</v>
      </c>
      <c r="L22" s="12">
        <v>1706.61</v>
      </c>
      <c r="M22" s="12">
        <v>1757.89</v>
      </c>
      <c r="N22" s="12">
        <f t="shared" si="14"/>
        <v>21030.17</v>
      </c>
    </row>
    <row r="23" spans="1:15" ht="26.25" customHeight="1" thickBot="1" x14ac:dyDescent="0.3">
      <c r="A23" s="21" t="s">
        <v>45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32700</v>
      </c>
      <c r="H23" s="12">
        <v>4500</v>
      </c>
      <c r="I23" s="12">
        <v>1367.51</v>
      </c>
      <c r="J23" s="12">
        <v>1100</v>
      </c>
      <c r="K23" s="12">
        <v>550</v>
      </c>
      <c r="L23" s="12">
        <v>550</v>
      </c>
      <c r="M23" s="12">
        <v>0</v>
      </c>
      <c r="N23" s="12">
        <f t="shared" si="14"/>
        <v>40767.51</v>
      </c>
    </row>
    <row r="24" spans="1:15" ht="26.25" customHeight="1" thickBot="1" x14ac:dyDescent="0.3">
      <c r="A24" s="4" t="s">
        <v>15</v>
      </c>
      <c r="B24" s="14">
        <f>1400-300</f>
        <v>1100</v>
      </c>
      <c r="C24" s="14">
        <f t="shared" ref="C24:I24" si="15">1400-300</f>
        <v>1100</v>
      </c>
      <c r="D24" s="14">
        <f t="shared" si="15"/>
        <v>1100</v>
      </c>
      <c r="E24" s="14">
        <f t="shared" si="15"/>
        <v>1100</v>
      </c>
      <c r="F24" s="14">
        <f t="shared" si="15"/>
        <v>1100</v>
      </c>
      <c r="G24" s="14">
        <f t="shared" si="15"/>
        <v>1100</v>
      </c>
      <c r="H24" s="14">
        <f t="shared" si="15"/>
        <v>1100</v>
      </c>
      <c r="I24" s="14">
        <f t="shared" si="15"/>
        <v>1100</v>
      </c>
      <c r="J24" s="14">
        <v>2500</v>
      </c>
      <c r="K24" s="12">
        <v>1100</v>
      </c>
      <c r="L24" s="12">
        <v>1100</v>
      </c>
      <c r="M24" s="12">
        <v>1100</v>
      </c>
      <c r="N24" s="12">
        <f t="shared" si="14"/>
        <v>14600</v>
      </c>
      <c r="O24" s="3"/>
    </row>
    <row r="25" spans="1:15" ht="21.75" customHeight="1" thickBot="1" x14ac:dyDescent="0.3">
      <c r="A25" s="10" t="s">
        <v>24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6"/>
    </row>
    <row r="26" spans="1:15" ht="19.5" customHeight="1" thickBot="1" x14ac:dyDescent="0.3">
      <c r="A26" s="4" t="s">
        <v>1</v>
      </c>
      <c r="B26" s="12">
        <f>3533*0.6</f>
        <v>2119.7999999999997</v>
      </c>
      <c r="C26" s="12">
        <f t="shared" ref="C26:M26" si="16">3533*0.6</f>
        <v>2119.7999999999997</v>
      </c>
      <c r="D26" s="12">
        <f t="shared" si="16"/>
        <v>2119.7999999999997</v>
      </c>
      <c r="E26" s="12">
        <f t="shared" si="16"/>
        <v>2119.7999999999997</v>
      </c>
      <c r="F26" s="12">
        <f t="shared" si="16"/>
        <v>2119.7999999999997</v>
      </c>
      <c r="G26" s="12">
        <f t="shared" si="16"/>
        <v>2119.7999999999997</v>
      </c>
      <c r="H26" s="12">
        <f t="shared" si="16"/>
        <v>2119.7999999999997</v>
      </c>
      <c r="I26" s="12">
        <f t="shared" si="16"/>
        <v>2119.7999999999997</v>
      </c>
      <c r="J26" s="12">
        <f t="shared" si="16"/>
        <v>2119.7999999999997</v>
      </c>
      <c r="K26" s="12">
        <f t="shared" si="16"/>
        <v>2119.7999999999997</v>
      </c>
      <c r="L26" s="12">
        <f t="shared" si="16"/>
        <v>2119.7999999999997</v>
      </c>
      <c r="M26" s="12">
        <f t="shared" si="16"/>
        <v>2119.7999999999997</v>
      </c>
      <c r="N26" s="12">
        <f t="shared" ref="N26:N40" si="17">SUM(B26:M26)</f>
        <v>25437.599999999995</v>
      </c>
    </row>
    <row r="27" spans="1:15" ht="22.5" customHeight="1" thickBot="1" x14ac:dyDescent="0.3">
      <c r="A27" s="4" t="s">
        <v>2</v>
      </c>
      <c r="B27" s="12">
        <f>3533*0.17</f>
        <v>600.61</v>
      </c>
      <c r="C27" s="12">
        <f>3533*0.2</f>
        <v>706.6</v>
      </c>
      <c r="D27" s="12">
        <f>3533*0.2</f>
        <v>706.6</v>
      </c>
      <c r="E27" s="12">
        <f t="shared" ref="E27:M27" si="18">3533*0.2</f>
        <v>706.6</v>
      </c>
      <c r="F27" s="12">
        <f t="shared" si="18"/>
        <v>706.6</v>
      </c>
      <c r="G27" s="12">
        <f t="shared" si="18"/>
        <v>706.6</v>
      </c>
      <c r="H27" s="12">
        <f t="shared" si="18"/>
        <v>706.6</v>
      </c>
      <c r="I27" s="12">
        <f t="shared" si="18"/>
        <v>706.6</v>
      </c>
      <c r="J27" s="12">
        <f t="shared" si="18"/>
        <v>706.6</v>
      </c>
      <c r="K27" s="12">
        <f t="shared" si="18"/>
        <v>706.6</v>
      </c>
      <c r="L27" s="12">
        <f t="shared" si="18"/>
        <v>706.6</v>
      </c>
      <c r="M27" s="12">
        <f t="shared" si="18"/>
        <v>706.6</v>
      </c>
      <c r="N27" s="12">
        <f t="shared" si="17"/>
        <v>8373.2100000000009</v>
      </c>
    </row>
    <row r="28" spans="1:15" ht="21" customHeight="1" thickBot="1" x14ac:dyDescent="0.3">
      <c r="A28" s="4" t="s">
        <v>3</v>
      </c>
      <c r="B28" s="12">
        <f>86547.89*2.3%</f>
        <v>1990.6014700000001</v>
      </c>
      <c r="C28" s="12">
        <f>82661.59*2.6%</f>
        <v>2149.2013400000001</v>
      </c>
      <c r="D28" s="12">
        <f>82661.59*2.6%</f>
        <v>2149.2013400000001</v>
      </c>
      <c r="E28" s="12">
        <f>82661.59*2.6%</f>
        <v>2149.2013400000001</v>
      </c>
      <c r="F28" s="12">
        <f>126661.59*2.6%</f>
        <v>3293.2013400000001</v>
      </c>
      <c r="G28" s="12">
        <f>106389.08*2.6%</f>
        <v>2766.1160800000002</v>
      </c>
      <c r="H28" s="12">
        <f>101039.96*2.6%</f>
        <v>2627.0389600000003</v>
      </c>
      <c r="I28" s="12">
        <f>106719.85*2.6%</f>
        <v>2774.7161000000006</v>
      </c>
      <c r="J28" s="12">
        <f>101067.05*2.6%</f>
        <v>2627.7433000000001</v>
      </c>
      <c r="K28" s="12">
        <f>110344.39*2.6%</f>
        <v>2868.9541400000003</v>
      </c>
      <c r="L28" s="12">
        <f>101064.2*2.6%</f>
        <v>2627.6692000000003</v>
      </c>
      <c r="M28" s="12">
        <f>101064.2*2.6%</f>
        <v>2627.6692000000003</v>
      </c>
      <c r="N28" s="12">
        <f t="shared" si="17"/>
        <v>30651.313810000007</v>
      </c>
    </row>
    <row r="29" spans="1:15" ht="23.25" customHeight="1" thickBot="1" x14ac:dyDescent="0.3">
      <c r="A29" s="4" t="s">
        <v>4</v>
      </c>
      <c r="B29" s="12">
        <f>81205.84*3%</f>
        <v>2436.1751999999997</v>
      </c>
      <c r="C29" s="12">
        <f>86762.16*3%</f>
        <v>2602.8647999999998</v>
      </c>
      <c r="D29" s="12">
        <f>85683.49*3%</f>
        <v>2570.5047</v>
      </c>
      <c r="E29" s="12">
        <f>91327.37*3%</f>
        <v>2739.8210999999997</v>
      </c>
      <c r="F29" s="12">
        <f>79243.43*3%</f>
        <v>2377.3028999999997</v>
      </c>
      <c r="G29" s="12">
        <f>106696.55*3%</f>
        <v>3200.8964999999998</v>
      </c>
      <c r="H29" s="12">
        <f>102192.66*3%</f>
        <v>3065.7797999999998</v>
      </c>
      <c r="I29" s="12">
        <f>93953.75*3%</f>
        <v>2818.6124999999997</v>
      </c>
      <c r="J29" s="12">
        <f>118681.84*3%</f>
        <v>3560.4551999999999</v>
      </c>
      <c r="K29" s="12">
        <f>90604.56*3%</f>
        <v>2718.1367999999998</v>
      </c>
      <c r="L29" s="12">
        <f>108789.64*3%</f>
        <v>3263.6891999999998</v>
      </c>
      <c r="M29" s="12">
        <f>101402.98*3%</f>
        <v>3042.0893999999998</v>
      </c>
      <c r="N29" s="12">
        <f t="shared" si="17"/>
        <v>34396.328099999999</v>
      </c>
    </row>
    <row r="30" spans="1:15" ht="23.25" customHeight="1" thickBot="1" x14ac:dyDescent="0.3">
      <c r="A30" s="4" t="s">
        <v>9</v>
      </c>
      <c r="B30" s="22">
        <f>3533*12</f>
        <v>42396</v>
      </c>
      <c r="C30" s="22">
        <f t="shared" ref="C30:M30" si="19">3533*12</f>
        <v>42396</v>
      </c>
      <c r="D30" s="22">
        <f t="shared" si="19"/>
        <v>42396</v>
      </c>
      <c r="E30" s="22">
        <f t="shared" si="19"/>
        <v>42396</v>
      </c>
      <c r="F30" s="22">
        <f t="shared" si="19"/>
        <v>42396</v>
      </c>
      <c r="G30" s="22">
        <f t="shared" si="19"/>
        <v>42396</v>
      </c>
      <c r="H30" s="22">
        <f t="shared" si="19"/>
        <v>42396</v>
      </c>
      <c r="I30" s="22">
        <f t="shared" si="19"/>
        <v>42396</v>
      </c>
      <c r="J30" s="22">
        <f t="shared" si="19"/>
        <v>42396</v>
      </c>
      <c r="K30" s="22">
        <f t="shared" si="19"/>
        <v>42396</v>
      </c>
      <c r="L30" s="22">
        <f t="shared" si="19"/>
        <v>42396</v>
      </c>
      <c r="M30" s="22">
        <f t="shared" si="19"/>
        <v>42396</v>
      </c>
      <c r="N30" s="12">
        <f t="shared" si="17"/>
        <v>508752</v>
      </c>
    </row>
    <row r="31" spans="1:15" ht="26.25" customHeight="1" thickBot="1" x14ac:dyDescent="0.3">
      <c r="A31" s="4" t="s">
        <v>20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f t="shared" si="17"/>
        <v>0</v>
      </c>
    </row>
    <row r="32" spans="1:15" ht="26.25" customHeight="1" thickBot="1" x14ac:dyDescent="0.3">
      <c r="A32" s="4" t="s">
        <v>21</v>
      </c>
      <c r="B32" s="12">
        <v>387.65</v>
      </c>
      <c r="C32" s="12">
        <v>387.65</v>
      </c>
      <c r="D32" s="12">
        <v>387.65</v>
      </c>
      <c r="E32" s="12">
        <v>387.65</v>
      </c>
      <c r="F32" s="12">
        <v>387.65</v>
      </c>
      <c r="G32" s="12">
        <v>387.65</v>
      </c>
      <c r="H32" s="12">
        <v>503.96</v>
      </c>
      <c r="I32" s="12">
        <v>503.96</v>
      </c>
      <c r="J32" s="12">
        <v>503.96</v>
      </c>
      <c r="K32" s="12">
        <v>503.96</v>
      </c>
      <c r="L32" s="12">
        <v>503.96</v>
      </c>
      <c r="M32" s="12">
        <v>503.96</v>
      </c>
      <c r="N32" s="12">
        <f t="shared" si="17"/>
        <v>5349.66</v>
      </c>
    </row>
    <row r="33" spans="1:14" ht="26.25" customHeight="1" thickBot="1" x14ac:dyDescent="0.3">
      <c r="A33" s="4" t="s">
        <v>22</v>
      </c>
      <c r="B33" s="12">
        <v>0</v>
      </c>
      <c r="C33" s="12">
        <v>0</v>
      </c>
      <c r="D33" s="12">
        <v>0</v>
      </c>
      <c r="E33" s="12">
        <v>0</v>
      </c>
      <c r="F33" s="12">
        <v>5426.56</v>
      </c>
      <c r="G33" s="12">
        <v>0</v>
      </c>
      <c r="H33" s="12">
        <v>5652.78</v>
      </c>
      <c r="I33" s="12">
        <v>0</v>
      </c>
      <c r="J33" s="12">
        <v>9277.32</v>
      </c>
      <c r="K33" s="12">
        <v>0</v>
      </c>
      <c r="L33" s="12">
        <v>0</v>
      </c>
      <c r="M33" s="12">
        <v>9686.2199999999993</v>
      </c>
      <c r="N33" s="12">
        <f t="shared" si="17"/>
        <v>30042.879999999997</v>
      </c>
    </row>
    <row r="34" spans="1:14" ht="26.25" customHeight="1" thickBot="1" x14ac:dyDescent="0.3">
      <c r="A34" s="4" t="s">
        <v>26</v>
      </c>
      <c r="B34" s="12">
        <f>260.75+0</f>
        <v>260.75</v>
      </c>
      <c r="C34" s="12">
        <f t="shared" ref="C34:G34" si="20">260.75+0</f>
        <v>260.75</v>
      </c>
      <c r="D34" s="12">
        <f t="shared" si="20"/>
        <v>260.75</v>
      </c>
      <c r="E34" s="12">
        <f t="shared" si="20"/>
        <v>260.75</v>
      </c>
      <c r="F34" s="12">
        <f t="shared" si="20"/>
        <v>260.75</v>
      </c>
      <c r="G34" s="12">
        <f t="shared" si="20"/>
        <v>260.75</v>
      </c>
      <c r="H34" s="12">
        <f>287.76+0</f>
        <v>287.76</v>
      </c>
      <c r="I34" s="12">
        <f t="shared" ref="I34:M34" si="21">287.76+0</f>
        <v>287.76</v>
      </c>
      <c r="J34" s="12">
        <f t="shared" si="21"/>
        <v>287.76</v>
      </c>
      <c r="K34" s="12">
        <f t="shared" si="21"/>
        <v>287.76</v>
      </c>
      <c r="L34" s="12">
        <f t="shared" si="21"/>
        <v>287.76</v>
      </c>
      <c r="M34" s="12">
        <f t="shared" si="21"/>
        <v>287.76</v>
      </c>
      <c r="N34" s="12">
        <f t="shared" si="17"/>
        <v>3291.0600000000004</v>
      </c>
    </row>
    <row r="35" spans="1:14" ht="22.5" customHeight="1" thickBot="1" x14ac:dyDescent="0.3">
      <c r="A35" s="4" t="s">
        <v>6</v>
      </c>
      <c r="B35" s="22">
        <f>3533*3.35</f>
        <v>11835.550000000001</v>
      </c>
      <c r="C35" s="22">
        <f t="shared" ref="C35:F35" si="22">3533*3.35</f>
        <v>11835.550000000001</v>
      </c>
      <c r="D35" s="22">
        <f t="shared" si="22"/>
        <v>11835.550000000001</v>
      </c>
      <c r="E35" s="22">
        <f t="shared" si="22"/>
        <v>11835.550000000001</v>
      </c>
      <c r="F35" s="22">
        <f t="shared" si="22"/>
        <v>11835.550000000001</v>
      </c>
      <c r="G35" s="22">
        <f>3533*4.13</f>
        <v>14591.289999999999</v>
      </c>
      <c r="H35" s="22">
        <f t="shared" ref="H35:M35" si="23">3533*4.13</f>
        <v>14591.289999999999</v>
      </c>
      <c r="I35" s="22">
        <f t="shared" si="23"/>
        <v>14591.289999999999</v>
      </c>
      <c r="J35" s="22">
        <f t="shared" si="23"/>
        <v>14591.289999999999</v>
      </c>
      <c r="K35" s="22">
        <f t="shared" si="23"/>
        <v>14591.289999999999</v>
      </c>
      <c r="L35" s="22">
        <f t="shared" si="23"/>
        <v>14591.289999999999</v>
      </c>
      <c r="M35" s="22">
        <f t="shared" si="23"/>
        <v>14591.289999999999</v>
      </c>
      <c r="N35" s="12">
        <f t="shared" si="17"/>
        <v>161316.78</v>
      </c>
    </row>
    <row r="36" spans="1:14" ht="21.75" hidden="1" customHeight="1" thickBot="1" x14ac:dyDescent="0.3">
      <c r="A36" s="4" t="s">
        <v>29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>
        <f t="shared" si="17"/>
        <v>0</v>
      </c>
    </row>
    <row r="37" spans="1:14" ht="21.75" customHeight="1" thickBot="1" x14ac:dyDescent="0.3">
      <c r="A37" s="4" t="s">
        <v>44</v>
      </c>
      <c r="B37" s="12">
        <v>1700</v>
      </c>
      <c r="C37" s="12">
        <v>1700</v>
      </c>
      <c r="D37" s="12">
        <v>1700</v>
      </c>
      <c r="E37" s="12">
        <v>1700</v>
      </c>
      <c r="F37" s="12">
        <v>1700</v>
      </c>
      <c r="G37" s="12">
        <v>1700</v>
      </c>
      <c r="H37" s="12">
        <v>1700</v>
      </c>
      <c r="I37" s="12">
        <v>1700</v>
      </c>
      <c r="J37" s="12">
        <v>1700</v>
      </c>
      <c r="K37" s="12">
        <v>1700</v>
      </c>
      <c r="L37" s="12">
        <v>1700</v>
      </c>
      <c r="M37" s="12">
        <v>1700</v>
      </c>
      <c r="N37" s="12">
        <f t="shared" si="17"/>
        <v>20400</v>
      </c>
    </row>
    <row r="38" spans="1:14" ht="24.75" customHeight="1" thickBot="1" x14ac:dyDescent="0.3">
      <c r="A38" s="4" t="s">
        <v>25</v>
      </c>
      <c r="B38" s="12">
        <v>1000</v>
      </c>
      <c r="C38" s="12">
        <v>1000</v>
      </c>
      <c r="D38" s="12">
        <v>1000</v>
      </c>
      <c r="E38" s="12">
        <v>1000</v>
      </c>
      <c r="F38" s="12">
        <v>1000</v>
      </c>
      <c r="G38" s="12">
        <v>1000</v>
      </c>
      <c r="H38" s="12">
        <v>1000</v>
      </c>
      <c r="I38" s="12">
        <v>1000</v>
      </c>
      <c r="J38" s="12">
        <v>1000</v>
      </c>
      <c r="K38" s="12">
        <v>1000</v>
      </c>
      <c r="L38" s="12">
        <v>1000</v>
      </c>
      <c r="M38" s="12">
        <v>1000</v>
      </c>
      <c r="N38" s="12">
        <f t="shared" si="17"/>
        <v>12000</v>
      </c>
    </row>
    <row r="39" spans="1:14" ht="24.75" customHeight="1" thickBot="1" x14ac:dyDescent="0.3">
      <c r="A39" s="4" t="s">
        <v>14</v>
      </c>
      <c r="B39" s="12">
        <v>0</v>
      </c>
      <c r="C39" s="12">
        <v>0</v>
      </c>
      <c r="D39" s="12">
        <v>0</v>
      </c>
      <c r="E39" s="12">
        <v>0</v>
      </c>
      <c r="F39" s="12">
        <v>22796.400000000001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f t="shared" si="17"/>
        <v>22796.400000000001</v>
      </c>
    </row>
    <row r="40" spans="1:14" ht="24" customHeight="1" thickBot="1" x14ac:dyDescent="0.3">
      <c r="A40" s="4" t="s">
        <v>10</v>
      </c>
      <c r="B40" s="12">
        <f>12513.7</f>
        <v>12513.7</v>
      </c>
      <c r="C40" s="12">
        <v>0</v>
      </c>
      <c r="D40" s="12">
        <f>24495+13500+1570.4</f>
        <v>39565.4</v>
      </c>
      <c r="E40" s="12">
        <f>4384.1+19455.3+4304.9+4213.2+2018.1+5558.6+11462.4+9468+250+210+1573+93621.5+1667.3+1588.1+6677+3515.4</f>
        <v>169966.9</v>
      </c>
      <c r="F40" s="12">
        <f>1066.6+15340.4+32938.5+16127.4+3305.4+4740</f>
        <v>73518.3</v>
      </c>
      <c r="G40" s="12">
        <f>3193.8+62799.8</f>
        <v>65993.600000000006</v>
      </c>
      <c r="H40" s="12">
        <f>3231.6+128700+15863+25777</f>
        <v>173571.6</v>
      </c>
      <c r="I40" s="12">
        <f>1500+250</f>
        <v>1750</v>
      </c>
      <c r="J40" s="12">
        <f>11725.3+1814.5</f>
        <v>13539.8</v>
      </c>
      <c r="K40" s="12">
        <f>3727.6+3030.8+8100</f>
        <v>14858.4</v>
      </c>
      <c r="L40" s="12">
        <f>36720+2402.7</f>
        <v>39122.699999999997</v>
      </c>
      <c r="M40" s="12">
        <f>625</f>
        <v>625</v>
      </c>
      <c r="N40" s="12">
        <f t="shared" si="17"/>
        <v>605025.4</v>
      </c>
    </row>
    <row r="41" spans="1:14" ht="22.5" customHeight="1" thickBot="1" x14ac:dyDescent="0.3">
      <c r="A41" s="8" t="s">
        <v>23</v>
      </c>
      <c r="B41" s="11">
        <f t="shared" ref="B41:M41" si="24">SUM(B26:B40)</f>
        <v>77240.836670000004</v>
      </c>
      <c r="C41" s="11">
        <f t="shared" si="24"/>
        <v>65158.416140000001</v>
      </c>
      <c r="D41" s="11">
        <f t="shared" si="24"/>
        <v>104691.45604</v>
      </c>
      <c r="E41" s="11">
        <f t="shared" si="24"/>
        <v>235262.27244</v>
      </c>
      <c r="F41" s="11">
        <f t="shared" si="24"/>
        <v>167818.11424000002</v>
      </c>
      <c r="G41" s="11">
        <f t="shared" si="24"/>
        <v>135122.70258000001</v>
      </c>
      <c r="H41" s="11">
        <f t="shared" si="24"/>
        <v>248222.60876</v>
      </c>
      <c r="I41" s="11">
        <f t="shared" si="24"/>
        <v>70648.738599999997</v>
      </c>
      <c r="J41" s="11">
        <f t="shared" si="24"/>
        <v>92310.728499999997</v>
      </c>
      <c r="K41" s="11">
        <f t="shared" si="24"/>
        <v>83750.900939999992</v>
      </c>
      <c r="L41" s="11">
        <f t="shared" si="24"/>
        <v>108319.4684</v>
      </c>
      <c r="M41" s="11">
        <f t="shared" si="24"/>
        <v>79286.388599999991</v>
      </c>
      <c r="N41" s="11">
        <f>SUM(B41:M41)</f>
        <v>1467832.63191</v>
      </c>
    </row>
    <row r="42" spans="1:14" ht="23.25" customHeight="1" thickBot="1" x14ac:dyDescent="0.3">
      <c r="A42" s="4" t="s">
        <v>5</v>
      </c>
      <c r="B42" s="17">
        <f t="shared" ref="B42:N42" si="25">B16-B41</f>
        <v>5065.0033299999777</v>
      </c>
      <c r="C42" s="17">
        <f t="shared" si="25"/>
        <v>22703.743860000002</v>
      </c>
      <c r="D42" s="17">
        <f t="shared" si="25"/>
        <v>-17907.966040000014</v>
      </c>
      <c r="E42" s="17">
        <f t="shared" si="25"/>
        <v>-142834.90244000003</v>
      </c>
      <c r="F42" s="17">
        <f t="shared" si="25"/>
        <v>-87474.684240000017</v>
      </c>
      <c r="G42" s="17">
        <f t="shared" si="25"/>
        <v>-27326.152580000024</v>
      </c>
      <c r="H42" s="17">
        <f t="shared" si="25"/>
        <v>-144929.94876</v>
      </c>
      <c r="I42" s="17">
        <f t="shared" si="25"/>
        <v>24405.011399999988</v>
      </c>
      <c r="J42" s="17">
        <f t="shared" si="25"/>
        <v>28871.111499999999</v>
      </c>
      <c r="K42" s="17">
        <f t="shared" si="25"/>
        <v>7953.6590600000054</v>
      </c>
      <c r="L42" s="17">
        <f t="shared" si="25"/>
        <v>1570.171600000016</v>
      </c>
      <c r="M42" s="17">
        <f t="shared" si="25"/>
        <v>23216.591400000005</v>
      </c>
      <c r="N42" s="12">
        <f t="shared" si="25"/>
        <v>-306688.36190999998</v>
      </c>
    </row>
    <row r="43" spans="1:14" ht="23.25" customHeight="1" thickBot="1" x14ac:dyDescent="0.3">
      <c r="A43" s="4" t="s">
        <v>7</v>
      </c>
      <c r="B43" s="14">
        <f>B5+B42</f>
        <v>-274542.24667000002</v>
      </c>
      <c r="C43" s="18">
        <f>B43+C42</f>
        <v>-251838.50281000003</v>
      </c>
      <c r="D43" s="18">
        <f>C43+D42</f>
        <v>-269746.46885000006</v>
      </c>
      <c r="E43" s="18">
        <f t="shared" ref="E43:G43" si="26">D43+E42</f>
        <v>-412581.3712900001</v>
      </c>
      <c r="F43" s="18">
        <f t="shared" si="26"/>
        <v>-500056.05553000013</v>
      </c>
      <c r="G43" s="18">
        <f t="shared" si="26"/>
        <v>-527382.20811000012</v>
      </c>
      <c r="H43" s="18">
        <f t="shared" ref="H43" si="27">G43+H42</f>
        <v>-672312.15687000006</v>
      </c>
      <c r="I43" s="18">
        <f t="shared" ref="I43" si="28">H43+I42</f>
        <v>-647907.1454700001</v>
      </c>
      <c r="J43" s="18">
        <f t="shared" ref="J43" si="29">I43+J42</f>
        <v>-619036.03397000011</v>
      </c>
      <c r="K43" s="18">
        <f t="shared" ref="K43" si="30">J43+K42</f>
        <v>-611082.37491000013</v>
      </c>
      <c r="L43" s="18">
        <f t="shared" ref="L43" si="31">K43+L42</f>
        <v>-609512.20331000013</v>
      </c>
      <c r="M43" s="18">
        <f t="shared" ref="M43" si="32">L43+M42</f>
        <v>-586295.61191000009</v>
      </c>
      <c r="N43" s="18">
        <f>N5-N41+N16</f>
        <v>-586295.61190999998</v>
      </c>
    </row>
    <row r="44" spans="1:14" ht="27" customHeight="1" thickBot="1" x14ac:dyDescent="0.3">
      <c r="A44" s="10" t="s">
        <v>11</v>
      </c>
      <c r="B44" s="19">
        <f t="shared" ref="B44:N44" si="33">B6+B16-B7</f>
        <v>-195791.98000000004</v>
      </c>
      <c r="C44" s="19">
        <f t="shared" si="33"/>
        <v>-191891.41000000003</v>
      </c>
      <c r="D44" s="19">
        <f t="shared" si="33"/>
        <v>-189069.51000000007</v>
      </c>
      <c r="E44" s="19">
        <f t="shared" si="33"/>
        <v>-180603.7300000001</v>
      </c>
      <c r="F44" s="19">
        <f t="shared" si="33"/>
        <v>-228221.8900000001</v>
      </c>
      <c r="G44" s="19">
        <f t="shared" si="33"/>
        <v>-228114.4200000001</v>
      </c>
      <c r="H44" s="19">
        <f t="shared" si="33"/>
        <v>-227161.72000000009</v>
      </c>
      <c r="I44" s="19">
        <f t="shared" si="33"/>
        <v>-240127.82000000012</v>
      </c>
      <c r="J44" s="19">
        <f t="shared" si="33"/>
        <v>-221313.03000000014</v>
      </c>
      <c r="K44" s="19">
        <f t="shared" si="33"/>
        <v>-241052.86000000016</v>
      </c>
      <c r="L44" s="19">
        <f t="shared" si="33"/>
        <v>-233327.42000000016</v>
      </c>
      <c r="M44" s="19">
        <f t="shared" si="33"/>
        <v>-232988.64000000016</v>
      </c>
      <c r="N44" s="19">
        <f t="shared" si="33"/>
        <v>-232988.6399999999</v>
      </c>
    </row>
  </sheetData>
  <mergeCells count="1">
    <mergeCell ref="A1:N1"/>
  </mergeCells>
  <phoneticPr fontId="2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2026-02-12T09:17:49Z</cp:lastPrinted>
  <dcterms:created xsi:type="dcterms:W3CDTF">2011-06-06T03:25:48Z</dcterms:created>
  <dcterms:modified xsi:type="dcterms:W3CDTF">2026-02-12T09:26:01Z</dcterms:modified>
</cp:coreProperties>
</file>