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23" i="1" l="1"/>
  <c r="M21" i="1"/>
  <c r="M13" i="1"/>
  <c r="M11" i="1"/>
  <c r="L23" i="1"/>
  <c r="L21" i="1"/>
  <c r="L13" i="1"/>
  <c r="L11" i="1"/>
  <c r="K23" i="1"/>
  <c r="K21" i="1"/>
  <c r="K13" i="1"/>
  <c r="K11" i="1"/>
  <c r="M42" i="1" l="1"/>
  <c r="L42" i="1" l="1"/>
  <c r="K42" i="1" l="1"/>
  <c r="K36" i="1" l="1"/>
  <c r="L36" i="1"/>
  <c r="M36" i="1"/>
  <c r="M31" i="1" l="1"/>
  <c r="M18" i="1"/>
  <c r="M30" i="1"/>
  <c r="M8" i="1"/>
  <c r="L31" i="1" l="1"/>
  <c r="L18" i="1"/>
  <c r="L30" i="1"/>
  <c r="L8" i="1"/>
  <c r="K31" i="1" l="1"/>
  <c r="K18" i="1"/>
  <c r="K30" i="1"/>
  <c r="K8" i="1"/>
  <c r="K37" i="1" l="1"/>
  <c r="L37" i="1"/>
  <c r="M37" i="1"/>
  <c r="K32" i="1"/>
  <c r="L32" i="1"/>
  <c r="M32" i="1"/>
  <c r="K29" i="1"/>
  <c r="L29" i="1"/>
  <c r="M29" i="1"/>
  <c r="K28" i="1"/>
  <c r="L28" i="1"/>
  <c r="M28" i="1"/>
  <c r="J23" i="1" l="1"/>
  <c r="J22" i="1"/>
  <c r="J21" i="1"/>
  <c r="J13" i="1"/>
  <c r="J11" i="1"/>
  <c r="I23" i="1"/>
  <c r="I21" i="1"/>
  <c r="I13" i="1"/>
  <c r="I11" i="1"/>
  <c r="I12" i="1"/>
  <c r="H23" i="1"/>
  <c r="H21" i="1"/>
  <c r="H13" i="1"/>
  <c r="H11" i="1"/>
  <c r="H26" i="1" l="1"/>
  <c r="I26" i="1"/>
  <c r="H16" i="1"/>
  <c r="I16" i="1"/>
  <c r="J16" i="1"/>
  <c r="G26" i="1" l="1"/>
  <c r="F26" i="1"/>
  <c r="E26" i="1"/>
  <c r="C26" i="1"/>
  <c r="D26" i="1"/>
  <c r="B26" i="1"/>
  <c r="C16" i="1"/>
  <c r="D16" i="1"/>
  <c r="E16" i="1"/>
  <c r="F16" i="1"/>
  <c r="G16" i="1"/>
  <c r="B16" i="1"/>
  <c r="J42" i="1" l="1"/>
  <c r="I36" i="1" l="1"/>
  <c r="J36" i="1"/>
  <c r="H36" i="1"/>
  <c r="I42" i="1" l="1"/>
  <c r="J31" i="1" l="1"/>
  <c r="J18" i="1"/>
  <c r="J30" i="1"/>
  <c r="J8" i="1"/>
  <c r="I31" i="1" l="1"/>
  <c r="I18" i="1"/>
  <c r="I30" i="1"/>
  <c r="I8" i="1"/>
  <c r="H42" i="1" l="1"/>
  <c r="H31" i="1" l="1"/>
  <c r="H18" i="1"/>
  <c r="H30" i="1"/>
  <c r="H8" i="1"/>
  <c r="H37" i="1"/>
  <c r="I37" i="1"/>
  <c r="J37" i="1"/>
  <c r="H32" i="1"/>
  <c r="I32" i="1"/>
  <c r="J32" i="1"/>
  <c r="H29" i="1"/>
  <c r="I29" i="1"/>
  <c r="J29" i="1"/>
  <c r="H28" i="1"/>
  <c r="I28" i="1"/>
  <c r="J28" i="1"/>
  <c r="G23" i="1" l="1"/>
  <c r="G21" i="1"/>
  <c r="G22" i="1"/>
  <c r="G13" i="1"/>
  <c r="G11" i="1"/>
  <c r="F23" i="1"/>
  <c r="F21" i="1"/>
  <c r="F13" i="1"/>
  <c r="F12" i="1"/>
  <c r="F11" i="1"/>
  <c r="E23" i="1"/>
  <c r="E21" i="1"/>
  <c r="E13" i="1"/>
  <c r="E11" i="1"/>
  <c r="F42" i="1" l="1"/>
  <c r="F36" i="1" l="1"/>
  <c r="G36" i="1"/>
  <c r="E36" i="1"/>
  <c r="E42" i="1" l="1"/>
  <c r="G31" i="1" l="1"/>
  <c r="G18" i="1"/>
  <c r="G30" i="1"/>
  <c r="G8" i="1"/>
  <c r="F31" i="1" l="1"/>
  <c r="F18" i="1"/>
  <c r="F30" i="1"/>
  <c r="F8" i="1"/>
  <c r="E31" i="1" l="1"/>
  <c r="E18" i="1"/>
  <c r="E30" i="1"/>
  <c r="E8" i="1"/>
  <c r="G37" i="1" l="1"/>
  <c r="E37" i="1" l="1"/>
  <c r="F37" i="1"/>
  <c r="E32" i="1"/>
  <c r="F32" i="1"/>
  <c r="G32" i="1"/>
  <c r="E29" i="1"/>
  <c r="F29" i="1"/>
  <c r="G29" i="1"/>
  <c r="E28" i="1"/>
  <c r="F28" i="1"/>
  <c r="G28" i="1"/>
  <c r="D20" i="1" l="1"/>
  <c r="D23" i="1"/>
  <c r="D21" i="1"/>
  <c r="D13" i="1"/>
  <c r="D11" i="1"/>
  <c r="C20" i="1"/>
  <c r="C23" i="1"/>
  <c r="C21" i="1"/>
  <c r="C10" i="1"/>
  <c r="C13" i="1"/>
  <c r="C11" i="1"/>
  <c r="B20" i="1"/>
  <c r="B23" i="1"/>
  <c r="B21" i="1"/>
  <c r="B10" i="1"/>
  <c r="B13" i="1"/>
  <c r="B11" i="1"/>
  <c r="D36" i="1" l="1"/>
  <c r="C36" i="1"/>
  <c r="B36" i="1"/>
  <c r="C33" i="1"/>
  <c r="B33" i="1"/>
  <c r="D42" i="1" l="1"/>
  <c r="C42" i="1" l="1"/>
  <c r="B42" i="1" l="1"/>
  <c r="D30" i="1" l="1"/>
  <c r="C32" i="1" l="1"/>
  <c r="D32" i="1"/>
  <c r="B32" i="1"/>
  <c r="C30" i="1"/>
  <c r="D29" i="1"/>
  <c r="C29" i="1"/>
  <c r="C37" i="1" l="1"/>
  <c r="D37" i="1"/>
  <c r="D31" i="1"/>
  <c r="D18" i="1"/>
  <c r="D8" i="1"/>
  <c r="N46" i="1"/>
  <c r="C31" i="1" l="1"/>
  <c r="C18" i="1"/>
  <c r="C28" i="1"/>
  <c r="D28" i="1"/>
  <c r="C8" i="1"/>
  <c r="B31" i="1" l="1"/>
  <c r="B18" i="1"/>
  <c r="B30" i="1"/>
  <c r="B8" i="1"/>
  <c r="B37" i="1" l="1"/>
  <c r="B29" i="1"/>
  <c r="B28" i="1"/>
  <c r="N39" i="1" l="1"/>
  <c r="N24" i="1" l="1"/>
  <c r="N14" i="1" l="1"/>
  <c r="N19" i="1" l="1"/>
  <c r="N9" i="1"/>
  <c r="N8" i="1" l="1"/>
  <c r="N10" i="1"/>
  <c r="N11" i="1"/>
  <c r="N12" i="1"/>
  <c r="N13" i="1"/>
  <c r="N15" i="1"/>
  <c r="N16" i="1"/>
  <c r="N32" i="1" l="1"/>
  <c r="N25" i="1"/>
  <c r="N18" i="1" l="1"/>
  <c r="N6" i="1" l="1"/>
  <c r="N5" i="1"/>
  <c r="N26" i="1" l="1"/>
  <c r="N28" i="1"/>
  <c r="N29" i="1"/>
  <c r="N33" i="1"/>
  <c r="N34" i="1"/>
  <c r="N35" i="1"/>
  <c r="N36" i="1"/>
  <c r="N37" i="1"/>
  <c r="N38" i="1"/>
  <c r="N40" i="1"/>
  <c r="N41" i="1"/>
  <c r="N42" i="1"/>
  <c r="N20" i="1"/>
  <c r="N21" i="1"/>
  <c r="N22" i="1"/>
  <c r="N23" i="1"/>
  <c r="K17" i="1"/>
  <c r="L17" i="1"/>
  <c r="M17" i="1"/>
  <c r="K7" i="1"/>
  <c r="L7" i="1"/>
  <c r="M7" i="1"/>
  <c r="M43" i="1" l="1"/>
  <c r="M44" i="1" s="1"/>
  <c r="L43" i="1"/>
  <c r="L44" i="1" s="1"/>
  <c r="N31" i="1"/>
  <c r="K43" i="1" l="1"/>
  <c r="K44" i="1" l="1"/>
  <c r="H17" i="1" l="1"/>
  <c r="I17" i="1"/>
  <c r="J17" i="1"/>
  <c r="H7" i="1"/>
  <c r="J7" i="1"/>
  <c r="J43" i="1" l="1"/>
  <c r="J44" i="1" s="1"/>
  <c r="I43" i="1"/>
  <c r="I44" i="1" s="1"/>
  <c r="I7" i="1"/>
  <c r="C17" i="1"/>
  <c r="D17" i="1"/>
  <c r="D43" i="1" s="1"/>
  <c r="D44" i="1" s="1"/>
  <c r="E17" i="1"/>
  <c r="F17" i="1"/>
  <c r="G17" i="1"/>
  <c r="B17" i="1"/>
  <c r="F43" i="1" l="1"/>
  <c r="F44" i="1" s="1"/>
  <c r="E43" i="1"/>
  <c r="G43" i="1"/>
  <c r="G44" i="1" s="1"/>
  <c r="N17" i="1"/>
  <c r="H43" i="1"/>
  <c r="H44" i="1" l="1"/>
  <c r="F7" i="1"/>
  <c r="G7" i="1"/>
  <c r="D7" i="1"/>
  <c r="C43" i="1"/>
  <c r="C7" i="1"/>
  <c r="B7" i="1"/>
  <c r="E7" i="1" l="1"/>
  <c r="N7" i="1" s="1"/>
  <c r="N47" i="1" s="1"/>
  <c r="C44" i="1"/>
  <c r="B43" i="1" l="1"/>
  <c r="N30" i="1"/>
  <c r="B47" i="1"/>
  <c r="C6" i="1" s="1"/>
  <c r="C47" i="1" l="1"/>
  <c r="D6" i="1" s="1"/>
  <c r="D47" i="1" s="1"/>
  <c r="E44" i="1"/>
  <c r="N43" i="1" s="1"/>
  <c r="B44" i="1"/>
  <c r="E6" i="1" l="1"/>
  <c r="E47" i="1" s="1"/>
  <c r="N44" i="1"/>
  <c r="N45" i="1" s="1"/>
  <c r="B45" i="1"/>
  <c r="F6" i="1" l="1"/>
  <c r="C5" i="1"/>
  <c r="C45" i="1" s="1"/>
  <c r="F47" i="1" l="1"/>
  <c r="G6" i="1" s="1"/>
  <c r="G47" i="1" s="1"/>
  <c r="H6" i="1" s="1"/>
  <c r="D5" i="1"/>
  <c r="D45" i="1" s="1"/>
  <c r="H47" i="1" l="1"/>
  <c r="I6" i="1" s="1"/>
  <c r="I47" i="1" s="1"/>
  <c r="J6" i="1" s="1"/>
  <c r="J47" i="1" s="1"/>
  <c r="E5" i="1"/>
  <c r="E45" i="1" s="1"/>
  <c r="K6" i="1" l="1"/>
  <c r="K47" i="1" s="1"/>
  <c r="F5" i="1"/>
  <c r="F45" i="1" s="1"/>
  <c r="L6" i="1" l="1"/>
  <c r="L47" i="1" s="1"/>
  <c r="G5" i="1"/>
  <c r="G45" i="1" s="1"/>
  <c r="M6" i="1" l="1"/>
  <c r="M47" i="1" s="1"/>
  <c r="H5" i="1"/>
  <c r="H45" i="1" s="1"/>
  <c r="I5" i="1" l="1"/>
  <c r="I45" i="1" s="1"/>
  <c r="J5" i="1" l="1"/>
  <c r="J45" i="1" s="1"/>
  <c r="K5" i="1" l="1"/>
  <c r="K45" i="1" s="1"/>
  <c r="L5" i="1" l="1"/>
  <c r="L45" i="1" s="1"/>
  <c r="M5" i="1" l="1"/>
  <c r="M45" i="1" s="1"/>
</calcChain>
</file>

<file path=xl/sharedStrings.xml><?xml version="1.0" encoding="utf-8"?>
<sst xmlns="http://schemas.openxmlformats.org/spreadsheetml/2006/main" count="60" uniqueCount="49">
  <si>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</si>
  <si>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</si>
  <si>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</si>
  <si>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</si>
  <si>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</si>
  <si>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</si>
  <si>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</si>
  <si>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</si>
  <si>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</si>
  <si>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</si>
  <si>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</si>
  <si>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</si>
  <si>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</si>
  <si>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</si>
  <si>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</si>
  <si>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</si>
  <si>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</si>
  <si>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</si>
  <si>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</si>
  <si>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</si>
  <si>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</si>
  <si>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</si>
  <si>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</si>
  <si>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</si>
  <si>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</si>
  <si>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</si>
  <si>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на ОИ</t>
  </si>
  <si>
    <t xml:space="preserve">Содержание жилья и текущий ремонт / нежилые </t>
  </si>
  <si>
    <t>Диагностика газового оборудования</t>
  </si>
  <si>
    <t>Корректировка задолженности по оплате по решению Арбитражного суда за предыдущие периоды</t>
  </si>
  <si>
    <t xml:space="preserve">Содержание жилья и текущий ремонт,  ОПУ </t>
  </si>
  <si>
    <t>Содержание жилья и текущий ремонт,  ОПУ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</si>
  <si>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</si>
  <si>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</si>
  <si>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</si>
  <si>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</si>
  <si>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</si>
  <si>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</si>
  <si>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</si>
  <si>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</si>
  <si>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</si>
  <si>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</si>
  <si>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</si>
  <si>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</si>
  <si>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</si>
  <si>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</si>
  <si>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2025г.</t>
  </si>
  <si>
    <t xml:space="preserve">Корректировка задолженности </t>
  </si>
  <si>
    <t xml:space="preserve">         ОТЧЕТ по дому Васильева, 41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</si>
</sst>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164" fontId="6" fillId="2" borderId="4" xfId="0" applyNumberFormat="1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vertical="top" wrapText="1"/>
    </xf>
    <xf numFmtId="164" fontId="6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6" fillId="4" borderId="3" xfId="0" applyFont="1" applyFill="1" applyBorder="1" applyAlignment="1">
      <alignment vertical="top" wrapText="1"/>
    </xf>
    <xf numFmtId="164" fontId="6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164" fontId="6" fillId="0" borderId="5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4" fontId="6" fillId="0" borderId="9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topLeftCell="A29" zoomScale="75" workbookViewId="0">
      <selection activeCell="A29" sqref="A1:H1048576"/>
    </sheetView>
  </sheetViews>
  <sheetFormatPr defaultRowHeight="13.2" x14ac:dyDescent="0.25"/>
  <cols>
    <col min="1" max="1" width="58.6640625" customWidth="1"/>
    <col min="2" max="2" width="14.109375" customWidth="1"/>
    <col min="3" max="4" width="14.44140625" customWidth="1"/>
    <col min="5" max="5" width="16.21875" customWidth="1"/>
    <col min="6" max="6" width="15.33203125" customWidth="1"/>
    <col min="7" max="9" width="15.21875" customWidth="1"/>
    <col min="10" max="10" width="16.109375" customWidth="1"/>
    <col min="11" max="11" width="15.77734375" customWidth="1"/>
    <col min="12" max="12" width="15.5546875" customWidth="1"/>
    <col min="13" max="13" width="16.21875" customWidth="1"/>
    <col min="14" max="14" width="18.88671875" customWidth="1"/>
  </cols>
  <sheetData>
    <row r="1" spans="1:14" ht="20.25" customHeight="1" x14ac:dyDescent="0.4">
      <c r="A1" s="23" t="s">
        <v>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7.5" customHeight="1" thickBot="1" x14ac:dyDescent="0.3">
      <c r="A2" s="1"/>
    </row>
    <row r="3" spans="1:14" ht="3" hidden="1" customHeight="1" thickBot="1" x14ac:dyDescent="0.3">
      <c r="A3" s="1"/>
    </row>
    <row r="4" spans="1:14" ht="38.25" customHeight="1" thickBot="1" x14ac:dyDescent="0.3">
      <c r="A4" s="4" t="s">
        <v>0</v>
      </c>
      <c r="B4" s="5" t="s">
        <v>34</v>
      </c>
      <c r="C4" s="5" t="s">
        <v>35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5" t="s">
        <v>42</v>
      </c>
      <c r="K4" s="5" t="s">
        <v>43</v>
      </c>
      <c r="L4" s="5" t="s">
        <v>44</v>
      </c>
      <c r="M4" s="5" t="s">
        <v>45</v>
      </c>
      <c r="N4" s="5" t="s">
        <v>46</v>
      </c>
    </row>
    <row r="5" spans="1:14" ht="23.25" customHeight="1" thickBot="1" x14ac:dyDescent="0.3">
      <c r="A5" s="6" t="s">
        <v>16</v>
      </c>
      <c r="B5" s="7">
        <v>-825443.92</v>
      </c>
      <c r="C5" s="7">
        <f t="shared" ref="C5:D5" si="0">B45</f>
        <v>-888401.47661000001</v>
      </c>
      <c r="D5" s="7">
        <f t="shared" si="0"/>
        <v>-915877.30729000003</v>
      </c>
      <c r="E5" s="7">
        <f t="shared" ref="E5" si="1">D45</f>
        <v>-1025521.70175</v>
      </c>
      <c r="F5" s="7">
        <f>E45</f>
        <v>-1290811.85947</v>
      </c>
      <c r="G5" s="7">
        <f t="shared" ref="G5" si="2">F45</f>
        <v>-1406398.02205</v>
      </c>
      <c r="H5" s="7">
        <f t="shared" ref="H5" si="3">G45</f>
        <v>-1393122.73917</v>
      </c>
      <c r="I5" s="7">
        <f t="shared" ref="I5" si="4">H45</f>
        <v>-1379125.3482299999</v>
      </c>
      <c r="J5" s="7">
        <f t="shared" ref="J5" si="5">I45</f>
        <v>-1364147.7727099999</v>
      </c>
      <c r="K5" s="7">
        <f t="shared" ref="K5" si="6">J45</f>
        <v>-1409771.71991</v>
      </c>
      <c r="L5" s="7">
        <f t="shared" ref="L5" si="7">K45</f>
        <v>-1359115.5847100001</v>
      </c>
      <c r="M5" s="7">
        <f t="shared" ref="M5" si="8">L45</f>
        <v>-1353165.8874100002</v>
      </c>
      <c r="N5" s="7">
        <f>B5</f>
        <v>-825443.92</v>
      </c>
    </row>
    <row r="6" spans="1:14" ht="21" customHeight="1" thickBot="1" x14ac:dyDescent="0.3">
      <c r="A6" s="6" t="s">
        <v>13</v>
      </c>
      <c r="B6" s="7">
        <v>-523532.6</v>
      </c>
      <c r="C6" s="7">
        <f t="shared" ref="C6:M6" si="9">B47</f>
        <v>-542708.5</v>
      </c>
      <c r="D6" s="7">
        <f t="shared" si="9"/>
        <v>-548524.24</v>
      </c>
      <c r="E6" s="7">
        <f t="shared" si="9"/>
        <v>-539044.87</v>
      </c>
      <c r="F6" s="7">
        <f t="shared" si="9"/>
        <v>-552440.24</v>
      </c>
      <c r="G6" s="7">
        <f t="shared" si="9"/>
        <v>-572415.09</v>
      </c>
      <c r="H6" s="7">
        <f t="shared" si="9"/>
        <v>-593093.38</v>
      </c>
      <c r="I6" s="7">
        <f t="shared" si="9"/>
        <v>-598539.83000000007</v>
      </c>
      <c r="J6" s="7">
        <f t="shared" si="9"/>
        <v>-620917.99000000011</v>
      </c>
      <c r="K6" s="7">
        <f t="shared" si="9"/>
        <v>-633308.88000000012</v>
      </c>
      <c r="L6" s="7">
        <f t="shared" si="9"/>
        <v>-608152.52000000014</v>
      </c>
      <c r="M6" s="7">
        <f t="shared" si="9"/>
        <v>-622537.2300000001</v>
      </c>
      <c r="N6" s="7">
        <f>B6</f>
        <v>-523532.6</v>
      </c>
    </row>
    <row r="7" spans="1:14" ht="20.25" customHeight="1" thickBot="1" x14ac:dyDescent="0.3">
      <c r="A7" s="8" t="s">
        <v>12</v>
      </c>
      <c r="B7" s="9">
        <f t="shared" ref="B7:M7" si="10">SUM(B8:B16)</f>
        <v>98179.380000000019</v>
      </c>
      <c r="C7" s="9">
        <f t="shared" si="10"/>
        <v>91224.57</v>
      </c>
      <c r="D7" s="9">
        <f t="shared" si="10"/>
        <v>97458.360000000015</v>
      </c>
      <c r="E7" s="9">
        <f t="shared" si="10"/>
        <v>88720.390000000014</v>
      </c>
      <c r="F7" s="9">
        <f t="shared" si="10"/>
        <v>93751.890000000014</v>
      </c>
      <c r="G7" s="9">
        <f t="shared" si="10"/>
        <v>106874.58000000002</v>
      </c>
      <c r="H7" s="9">
        <f t="shared" si="10"/>
        <v>106952.08000000002</v>
      </c>
      <c r="I7" s="9">
        <f t="shared" si="10"/>
        <v>112357.66</v>
      </c>
      <c r="J7" s="9">
        <f t="shared" si="10"/>
        <v>106979.41</v>
      </c>
      <c r="K7" s="9">
        <f t="shared" si="10"/>
        <v>106779.41</v>
      </c>
      <c r="L7" s="9">
        <f t="shared" si="10"/>
        <v>106779.41</v>
      </c>
      <c r="M7" s="9">
        <f t="shared" si="10"/>
        <v>106782.20999999999</v>
      </c>
      <c r="N7" s="9">
        <f>SUM(B7:M7)</f>
        <v>1222839.3500000003</v>
      </c>
    </row>
    <row r="8" spans="1:14" ht="24.75" customHeight="1" thickBot="1" x14ac:dyDescent="0.3">
      <c r="A8" s="3" t="s">
        <v>30</v>
      </c>
      <c r="B8" s="10">
        <f>78528.47+1435.36</f>
        <v>79963.83</v>
      </c>
      <c r="C8" s="10">
        <f>78528.47+1435.36</f>
        <v>79963.83</v>
      </c>
      <c r="D8" s="10">
        <f>78528.47+1435.36</f>
        <v>79963.83</v>
      </c>
      <c r="E8" s="10">
        <f>78528.47+1435.36</f>
        <v>79963.83</v>
      </c>
      <c r="F8" s="10">
        <f>78528.47+1435.36</f>
        <v>79963.83</v>
      </c>
      <c r="G8" s="10">
        <f t="shared" ref="G8:L8" si="11">96753.27+1435.36</f>
        <v>98188.63</v>
      </c>
      <c r="H8" s="10">
        <f t="shared" si="11"/>
        <v>98188.63</v>
      </c>
      <c r="I8" s="10">
        <f t="shared" si="11"/>
        <v>98188.63</v>
      </c>
      <c r="J8" s="10">
        <f t="shared" si="11"/>
        <v>98188.63</v>
      </c>
      <c r="K8" s="10">
        <f t="shared" si="11"/>
        <v>98188.63</v>
      </c>
      <c r="L8" s="10">
        <f t="shared" si="11"/>
        <v>98188.63</v>
      </c>
      <c r="M8" s="10">
        <f>96756.02+1435.4</f>
        <v>98191.42</v>
      </c>
      <c r="N8" s="10">
        <f>SUM(B8:M8)</f>
        <v>1087142.3500000001</v>
      </c>
    </row>
    <row r="9" spans="1:14" ht="24.75" customHeight="1" thickBot="1" x14ac:dyDescent="0.3">
      <c r="A9" s="3" t="s">
        <v>27</v>
      </c>
      <c r="B9" s="10">
        <v>703.08</v>
      </c>
      <c r="C9" s="10">
        <v>703.08</v>
      </c>
      <c r="D9" s="10">
        <v>703.08</v>
      </c>
      <c r="E9" s="10">
        <v>703.08</v>
      </c>
      <c r="F9" s="10">
        <v>703.08</v>
      </c>
      <c r="G9" s="10">
        <v>866.25</v>
      </c>
      <c r="H9" s="10">
        <v>866.25</v>
      </c>
      <c r="I9" s="10">
        <v>866.25</v>
      </c>
      <c r="J9" s="10">
        <v>866.25</v>
      </c>
      <c r="K9" s="10">
        <v>866.25</v>
      </c>
      <c r="L9" s="10">
        <v>866.25</v>
      </c>
      <c r="M9" s="10">
        <v>866.25</v>
      </c>
      <c r="N9" s="10">
        <f>SUM(B9:M9)</f>
        <v>9579.15</v>
      </c>
    </row>
    <row r="10" spans="1:14" ht="24.75" customHeight="1" thickBot="1" x14ac:dyDescent="0.3">
      <c r="A10" s="3" t="s">
        <v>17</v>
      </c>
      <c r="B10" s="10">
        <f>8421.12+75.4</f>
        <v>8496.52</v>
      </c>
      <c r="C10" s="10">
        <f>2171.66+19.44</f>
        <v>2191.1</v>
      </c>
      <c r="D10" s="10">
        <v>8903.7999999999993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 t="shared" ref="N10:N16" si="12">SUM(B10:M10)</f>
        <v>19591.419999999998</v>
      </c>
    </row>
    <row r="11" spans="1:14" ht="24.75" customHeight="1" thickBot="1" x14ac:dyDescent="0.3">
      <c r="A11" s="3" t="s">
        <v>18</v>
      </c>
      <c r="B11" s="10">
        <f t="shared" ref="B11:G11" si="13">256.04+2.28</f>
        <v>258.32</v>
      </c>
      <c r="C11" s="10">
        <f t="shared" si="13"/>
        <v>258.32</v>
      </c>
      <c r="D11" s="10">
        <f t="shared" si="13"/>
        <v>258.32</v>
      </c>
      <c r="E11" s="10">
        <f t="shared" si="13"/>
        <v>258.32</v>
      </c>
      <c r="F11" s="10">
        <f t="shared" si="13"/>
        <v>258.32</v>
      </c>
      <c r="G11" s="10">
        <f t="shared" si="13"/>
        <v>258.32</v>
      </c>
      <c r="H11" s="10">
        <f>332.78+3.04</f>
        <v>335.82</v>
      </c>
      <c r="I11" s="10">
        <f>332.78+3.04</f>
        <v>335.82</v>
      </c>
      <c r="J11" s="10">
        <f>332.78+3.04</f>
        <v>335.82</v>
      </c>
      <c r="K11" s="10">
        <f>332.78+3.04</f>
        <v>335.82</v>
      </c>
      <c r="L11" s="10">
        <f>332.78+3.04</f>
        <v>335.82</v>
      </c>
      <c r="M11" s="10">
        <f>332.79+3.04</f>
        <v>335.83000000000004</v>
      </c>
      <c r="N11" s="10">
        <f t="shared" si="12"/>
        <v>3564.8500000000004</v>
      </c>
    </row>
    <row r="12" spans="1:14" ht="24.75" customHeight="1" thickBot="1" x14ac:dyDescent="0.3">
      <c r="A12" s="3" t="s">
        <v>19</v>
      </c>
      <c r="B12" s="10">
        <v>0</v>
      </c>
      <c r="C12" s="10">
        <v>0</v>
      </c>
      <c r="D12" s="10">
        <v>0</v>
      </c>
      <c r="E12" s="10">
        <v>0</v>
      </c>
      <c r="F12" s="10">
        <f>5218.56+46.72</f>
        <v>5265.2800000000007</v>
      </c>
      <c r="G12" s="10">
        <v>0</v>
      </c>
      <c r="H12" s="10">
        <v>0</v>
      </c>
      <c r="I12" s="10">
        <f>5329.58+48.67</f>
        <v>5378.25</v>
      </c>
      <c r="J12" s="10">
        <v>0</v>
      </c>
      <c r="K12" s="10">
        <v>0</v>
      </c>
      <c r="L12" s="10">
        <v>0</v>
      </c>
      <c r="M12" s="10">
        <v>0</v>
      </c>
      <c r="N12" s="10">
        <f t="shared" si="12"/>
        <v>10643.53</v>
      </c>
    </row>
    <row r="13" spans="1:14" ht="24.75" customHeight="1" thickBot="1" x14ac:dyDescent="0.3">
      <c r="A13" s="3" t="s">
        <v>26</v>
      </c>
      <c r="B13" s="10">
        <f>1446.37+12.95</f>
        <v>1459.32</v>
      </c>
      <c r="C13" s="10">
        <f>802.74+7.19</f>
        <v>809.93000000000006</v>
      </c>
      <c r="D13" s="10">
        <f>328.08+2.94</f>
        <v>331.02</v>
      </c>
      <c r="E13" s="10">
        <f>492.44+4.41</f>
        <v>496.85</v>
      </c>
      <c r="F13" s="10">
        <f>260.74+2.33</f>
        <v>263.07</v>
      </c>
      <c r="G13" s="10">
        <f>260.74+2.33</f>
        <v>263.07</v>
      </c>
      <c r="H13" s="10">
        <f>260.74+2.33</f>
        <v>263.07</v>
      </c>
      <c r="I13" s="10">
        <f>287.78+2.62</f>
        <v>290.39999999999998</v>
      </c>
      <c r="J13" s="10">
        <f>287.78+2.62</f>
        <v>290.39999999999998</v>
      </c>
      <c r="K13" s="10">
        <f>287.78+2.62</f>
        <v>290.39999999999998</v>
      </c>
      <c r="L13" s="10">
        <f>287.78+2.62</f>
        <v>290.39999999999998</v>
      </c>
      <c r="M13" s="10">
        <f>287.78+2.62</f>
        <v>290.39999999999998</v>
      </c>
      <c r="N13" s="10">
        <f t="shared" si="12"/>
        <v>5338.329999999999</v>
      </c>
    </row>
    <row r="14" spans="1:14" ht="24.75" customHeight="1" thickBot="1" x14ac:dyDescent="0.3">
      <c r="A14" s="3" t="s">
        <v>32</v>
      </c>
      <c r="B14" s="10">
        <v>6928.31</v>
      </c>
      <c r="C14" s="10">
        <v>6928.31</v>
      </c>
      <c r="D14" s="10">
        <v>6928.31</v>
      </c>
      <c r="E14" s="10">
        <v>6928.31</v>
      </c>
      <c r="F14" s="10">
        <v>6928.31</v>
      </c>
      <c r="G14" s="10">
        <v>6928.31</v>
      </c>
      <c r="H14" s="10">
        <v>6928.31</v>
      </c>
      <c r="I14" s="10">
        <v>6928.31</v>
      </c>
      <c r="J14" s="10">
        <v>6928.31</v>
      </c>
      <c r="K14" s="10">
        <v>6928.31</v>
      </c>
      <c r="L14" s="10">
        <v>6928.31</v>
      </c>
      <c r="M14" s="10">
        <v>6928.31</v>
      </c>
      <c r="N14" s="10">
        <f t="shared" si="12"/>
        <v>83139.719999999987</v>
      </c>
    </row>
    <row r="15" spans="1:14" ht="24.75" hidden="1" customHeight="1" thickBot="1" x14ac:dyDescent="0.3">
      <c r="A15" s="19" t="s">
        <v>28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f t="shared" si="12"/>
        <v>0</v>
      </c>
    </row>
    <row r="16" spans="1:14" ht="24.75" customHeight="1" thickBot="1" x14ac:dyDescent="0.3">
      <c r="A16" s="3" t="s">
        <v>15</v>
      </c>
      <c r="B16" s="10">
        <f>670-300</f>
        <v>370</v>
      </c>
      <c r="C16" s="10">
        <f t="shared" ref="C16:J16" si="14">670-300</f>
        <v>370</v>
      </c>
      <c r="D16" s="10">
        <f t="shared" si="14"/>
        <v>370</v>
      </c>
      <c r="E16" s="10">
        <f t="shared" si="14"/>
        <v>370</v>
      </c>
      <c r="F16" s="10">
        <f t="shared" si="14"/>
        <v>370</v>
      </c>
      <c r="G16" s="10">
        <f t="shared" si="14"/>
        <v>370</v>
      </c>
      <c r="H16" s="10">
        <f t="shared" si="14"/>
        <v>370</v>
      </c>
      <c r="I16" s="10">
        <f t="shared" si="14"/>
        <v>370</v>
      </c>
      <c r="J16" s="10">
        <f t="shared" si="14"/>
        <v>370</v>
      </c>
      <c r="K16" s="10">
        <v>170</v>
      </c>
      <c r="L16" s="10">
        <v>170</v>
      </c>
      <c r="M16" s="10">
        <v>170</v>
      </c>
      <c r="N16" s="10">
        <f t="shared" si="12"/>
        <v>3840</v>
      </c>
    </row>
    <row r="17" spans="1:15" ht="20.25" customHeight="1" thickBot="1" x14ac:dyDescent="0.3">
      <c r="A17" s="11" t="s">
        <v>8</v>
      </c>
      <c r="B17" s="12">
        <f t="shared" ref="B17:M17" si="15">SUM(B18:B26)</f>
        <v>79003.48000000001</v>
      </c>
      <c r="C17" s="12">
        <f t="shared" si="15"/>
        <v>85408.829999999987</v>
      </c>
      <c r="D17" s="12">
        <f t="shared" si="15"/>
        <v>89752.42</v>
      </c>
      <c r="E17" s="12">
        <f t="shared" si="15"/>
        <v>75325.01999999999</v>
      </c>
      <c r="F17" s="12">
        <f t="shared" si="15"/>
        <v>73777.040000000008</v>
      </c>
      <c r="G17" s="12">
        <f t="shared" si="15"/>
        <v>86196.29</v>
      </c>
      <c r="H17" s="12">
        <f t="shared" si="15"/>
        <v>101505.63</v>
      </c>
      <c r="I17" s="12">
        <f t="shared" si="15"/>
        <v>89979.5</v>
      </c>
      <c r="J17" s="12">
        <f t="shared" si="15"/>
        <v>94588.520000000033</v>
      </c>
      <c r="K17" s="12">
        <f t="shared" si="15"/>
        <v>131935.77000000002</v>
      </c>
      <c r="L17" s="12">
        <f t="shared" si="15"/>
        <v>92394.7</v>
      </c>
      <c r="M17" s="12">
        <f t="shared" si="15"/>
        <v>101605.13999999998</v>
      </c>
      <c r="N17" s="12">
        <f>SUM(B17:M17)</f>
        <v>1101472.3399999999</v>
      </c>
    </row>
    <row r="18" spans="1:15" ht="24" customHeight="1" thickBot="1" x14ac:dyDescent="0.3">
      <c r="A18" s="3" t="s">
        <v>31</v>
      </c>
      <c r="B18" s="10">
        <f>66948.13+1300.57</f>
        <v>68248.700000000012</v>
      </c>
      <c r="C18" s="10">
        <f>69780.81+1258.4</f>
        <v>71039.209999999992</v>
      </c>
      <c r="D18" s="10">
        <f>78287.73+1286.22</f>
        <v>79573.95</v>
      </c>
      <c r="E18" s="10">
        <f>65767.12+1199.18</f>
        <v>66966.299999999988</v>
      </c>
      <c r="F18" s="10">
        <f>65182.99+1204.07</f>
        <v>66387.06</v>
      </c>
      <c r="G18" s="10">
        <f>73240.91+1295.37</f>
        <v>74536.28</v>
      </c>
      <c r="H18" s="10">
        <f>91775.42+1369</f>
        <v>93144.42</v>
      </c>
      <c r="I18" s="10">
        <f>81298.4+1225.19</f>
        <v>82523.59</v>
      </c>
      <c r="J18" s="10">
        <f>78042.82+1157.57</f>
        <v>79200.390000000014</v>
      </c>
      <c r="K18" s="10">
        <f>119700.85+2632.03</f>
        <v>122332.88</v>
      </c>
      <c r="L18" s="10">
        <f>83383.15+0.16+1300.25</f>
        <v>84683.56</v>
      </c>
      <c r="M18" s="10">
        <f>91728.06+1331.77</f>
        <v>93059.83</v>
      </c>
      <c r="N18" s="10">
        <f>SUM(B18:M18)</f>
        <v>981696.17</v>
      </c>
    </row>
    <row r="19" spans="1:15" ht="24" customHeight="1" thickBot="1" x14ac:dyDescent="0.3">
      <c r="A19" s="3" t="s">
        <v>27</v>
      </c>
      <c r="B19" s="10">
        <v>703.08</v>
      </c>
      <c r="C19" s="10">
        <v>703.08</v>
      </c>
      <c r="D19" s="10">
        <v>703.08</v>
      </c>
      <c r="E19" s="10">
        <v>703.08</v>
      </c>
      <c r="F19" s="10">
        <v>703.08</v>
      </c>
      <c r="G19" s="10">
        <v>703.08</v>
      </c>
      <c r="H19" s="10">
        <v>866.25</v>
      </c>
      <c r="I19" s="10">
        <v>866.25</v>
      </c>
      <c r="J19" s="10">
        <v>866.25</v>
      </c>
      <c r="K19" s="10">
        <v>866.25</v>
      </c>
      <c r="L19" s="10">
        <v>866.25</v>
      </c>
      <c r="M19" s="10">
        <v>866.25</v>
      </c>
      <c r="N19" s="10">
        <f>SUM(B19:M19)</f>
        <v>9415.98</v>
      </c>
    </row>
    <row r="20" spans="1:15" ht="26.25" customHeight="1" thickBot="1" x14ac:dyDescent="0.3">
      <c r="A20" s="3" t="s">
        <v>17</v>
      </c>
      <c r="B20" s="10">
        <f>3270.44+48.45</f>
        <v>3318.89</v>
      </c>
      <c r="C20" s="10">
        <f>7093.06+75.4</f>
        <v>7168.46</v>
      </c>
      <c r="D20" s="10">
        <f>2125.29+19.44</f>
        <v>2144.73</v>
      </c>
      <c r="E20" s="10">
        <v>62.25</v>
      </c>
      <c r="F20" s="10">
        <v>30.52</v>
      </c>
      <c r="G20" s="10">
        <v>19.78</v>
      </c>
      <c r="H20" s="10">
        <v>19.760000000000002</v>
      </c>
      <c r="I20" s="10">
        <v>20.47</v>
      </c>
      <c r="J20" s="10">
        <v>648.24</v>
      </c>
      <c r="K20" s="10">
        <v>241.56</v>
      </c>
      <c r="L20" s="10">
        <v>42.22</v>
      </c>
      <c r="M20" s="10">
        <v>2.14</v>
      </c>
      <c r="N20" s="10">
        <f t="shared" ref="N20:N25" si="16">SUM(B20:M20)</f>
        <v>13719.019999999999</v>
      </c>
    </row>
    <row r="21" spans="1:15" ht="26.25" customHeight="1" thickBot="1" x14ac:dyDescent="0.3">
      <c r="A21" s="3" t="s">
        <v>18</v>
      </c>
      <c r="B21" s="10">
        <f>223.19+2.28</f>
        <v>225.47</v>
      </c>
      <c r="C21" s="10">
        <f>232.09+2.28</f>
        <v>234.37</v>
      </c>
      <c r="D21" s="10">
        <f>259.12+2.28</f>
        <v>261.39999999999998</v>
      </c>
      <c r="E21" s="10">
        <f>219.19+2.28</f>
        <v>221.47</v>
      </c>
      <c r="F21" s="10">
        <f>216.91+2.28</f>
        <v>219.19</v>
      </c>
      <c r="G21" s="10">
        <f>242.76+2.28</f>
        <v>245.04</v>
      </c>
      <c r="H21" s="10">
        <f>254.1+2.28</f>
        <v>256.38</v>
      </c>
      <c r="I21" s="10">
        <f>282.21+3.04</f>
        <v>285.25</v>
      </c>
      <c r="J21" s="10">
        <f>526.95+3.04</f>
        <v>529.99</v>
      </c>
      <c r="K21" s="10">
        <f>458.12+3.04</f>
        <v>461.16</v>
      </c>
      <c r="L21" s="10">
        <f>293.45+3.04</f>
        <v>296.49</v>
      </c>
      <c r="M21" s="10">
        <f>300.82+3.04</f>
        <v>303.86</v>
      </c>
      <c r="N21" s="10">
        <f t="shared" si="16"/>
        <v>3540.07</v>
      </c>
    </row>
    <row r="22" spans="1:15" ht="26.25" customHeight="1" thickBot="1" x14ac:dyDescent="0.3">
      <c r="A22" s="3" t="s">
        <v>19</v>
      </c>
      <c r="B22" s="10">
        <v>155.62</v>
      </c>
      <c r="C22" s="10">
        <v>79.48</v>
      </c>
      <c r="D22" s="10">
        <v>213.96</v>
      </c>
      <c r="E22" s="10">
        <v>67.09</v>
      </c>
      <c r="F22" s="10">
        <v>62.07</v>
      </c>
      <c r="G22" s="10">
        <f>4207.34+46.72</f>
        <v>4254.0600000000004</v>
      </c>
      <c r="H22" s="10">
        <v>351.72</v>
      </c>
      <c r="I22" s="10">
        <v>75.63</v>
      </c>
      <c r="J22" s="10">
        <f>5897.04+48.67</f>
        <v>5945.71</v>
      </c>
      <c r="K22" s="10">
        <v>1304.1500000000001</v>
      </c>
      <c r="L22" s="10">
        <v>123.73</v>
      </c>
      <c r="M22" s="10">
        <v>83.18</v>
      </c>
      <c r="N22" s="10">
        <f t="shared" si="16"/>
        <v>12716.4</v>
      </c>
    </row>
    <row r="23" spans="1:15" ht="26.25" customHeight="1" thickBot="1" x14ac:dyDescent="0.3">
      <c r="A23" s="3" t="s">
        <v>26</v>
      </c>
      <c r="B23" s="10">
        <f>19.3+2.33</f>
        <v>21.630000000000003</v>
      </c>
      <c r="C23" s="10">
        <f>34.73+12.95</f>
        <v>47.679999999999993</v>
      </c>
      <c r="D23" s="10">
        <f>603.38+7.19</f>
        <v>610.57000000000005</v>
      </c>
      <c r="E23" s="10">
        <f>293.69+2.94</f>
        <v>296.63</v>
      </c>
      <c r="F23" s="10">
        <f>402.95+4.41</f>
        <v>407.36</v>
      </c>
      <c r="G23" s="10">
        <f>276.28+2.33</f>
        <v>278.60999999999996</v>
      </c>
      <c r="H23" s="10">
        <f>274.97+2.33</f>
        <v>277.3</v>
      </c>
      <c r="I23" s="10">
        <f>230.08+2.33</f>
        <v>232.41000000000003</v>
      </c>
      <c r="J23" s="10">
        <f>370.22+2.62</f>
        <v>372.84000000000003</v>
      </c>
      <c r="K23" s="10">
        <f>488.15+2.62</f>
        <v>490.77</v>
      </c>
      <c r="L23" s="10">
        <f>265.1+2.62</f>
        <v>267.72000000000003</v>
      </c>
      <c r="M23" s="10">
        <f>260.56+2.62</f>
        <v>263.18</v>
      </c>
      <c r="N23" s="10">
        <f t="shared" si="16"/>
        <v>3566.7000000000003</v>
      </c>
    </row>
    <row r="24" spans="1:15" ht="26.25" customHeight="1" thickBot="1" x14ac:dyDescent="0.3">
      <c r="A24" s="3" t="s">
        <v>32</v>
      </c>
      <c r="B24" s="10">
        <v>6230.09</v>
      </c>
      <c r="C24" s="10">
        <v>6036.55</v>
      </c>
      <c r="D24" s="10">
        <v>6144.73</v>
      </c>
      <c r="E24" s="10">
        <v>5788.2</v>
      </c>
      <c r="F24" s="10">
        <v>5867.76</v>
      </c>
      <c r="G24" s="10">
        <v>6059.44</v>
      </c>
      <c r="H24" s="10">
        <v>6489.8</v>
      </c>
      <c r="I24" s="10">
        <v>5875.9</v>
      </c>
      <c r="J24" s="10">
        <v>5525.1</v>
      </c>
      <c r="K24" s="10">
        <v>6139</v>
      </c>
      <c r="L24" s="10">
        <v>6014.73</v>
      </c>
      <c r="M24" s="10">
        <v>6226.7</v>
      </c>
      <c r="N24" s="10">
        <f t="shared" si="16"/>
        <v>72398</v>
      </c>
    </row>
    <row r="25" spans="1:15" ht="26.25" hidden="1" customHeight="1" thickBot="1" x14ac:dyDescent="0.3">
      <c r="A25" s="19" t="s">
        <v>28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>
        <f t="shared" si="16"/>
        <v>0</v>
      </c>
    </row>
    <row r="26" spans="1:15" ht="26.25" customHeight="1" thickBot="1" x14ac:dyDescent="0.3">
      <c r="A26" s="3" t="s">
        <v>15</v>
      </c>
      <c r="B26" s="13">
        <f>400-300</f>
        <v>100</v>
      </c>
      <c r="C26" s="13">
        <f t="shared" ref="C26:D26" si="17">400-300</f>
        <v>100</v>
      </c>
      <c r="D26" s="13">
        <f t="shared" si="17"/>
        <v>100</v>
      </c>
      <c r="E26" s="13">
        <f>1520-300</f>
        <v>1220</v>
      </c>
      <c r="F26" s="13">
        <f>400-300</f>
        <v>100</v>
      </c>
      <c r="G26" s="13">
        <f>400-300</f>
        <v>100</v>
      </c>
      <c r="H26" s="13">
        <f t="shared" ref="H26:I26" si="18">400-300</f>
        <v>100</v>
      </c>
      <c r="I26" s="13">
        <f t="shared" si="18"/>
        <v>100</v>
      </c>
      <c r="J26" s="13">
        <v>1500</v>
      </c>
      <c r="K26" s="10">
        <v>100</v>
      </c>
      <c r="L26" s="10">
        <v>100</v>
      </c>
      <c r="M26" s="10">
        <v>800</v>
      </c>
      <c r="N26" s="10">
        <f>SUM(B26:M26)</f>
        <v>4420</v>
      </c>
      <c r="O26" s="2"/>
    </row>
    <row r="27" spans="1:15" ht="21.75" customHeight="1" thickBot="1" x14ac:dyDescent="0.3">
      <c r="A27" s="14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</row>
    <row r="28" spans="1:15" ht="19.5" customHeight="1" thickBot="1" x14ac:dyDescent="0.3">
      <c r="A28" s="3" t="s">
        <v>1</v>
      </c>
      <c r="B28" s="10">
        <f t="shared" ref="B28:M28" si="19">3549.8*0.6</f>
        <v>2129.88</v>
      </c>
      <c r="C28" s="10">
        <f t="shared" si="19"/>
        <v>2129.88</v>
      </c>
      <c r="D28" s="10">
        <f t="shared" si="19"/>
        <v>2129.88</v>
      </c>
      <c r="E28" s="10">
        <f t="shared" si="19"/>
        <v>2129.88</v>
      </c>
      <c r="F28" s="10">
        <f t="shared" si="19"/>
        <v>2129.88</v>
      </c>
      <c r="G28" s="10">
        <f t="shared" si="19"/>
        <v>2129.88</v>
      </c>
      <c r="H28" s="10">
        <f t="shared" si="19"/>
        <v>2129.88</v>
      </c>
      <c r="I28" s="10">
        <f t="shared" si="19"/>
        <v>2129.88</v>
      </c>
      <c r="J28" s="10">
        <f t="shared" si="19"/>
        <v>2129.88</v>
      </c>
      <c r="K28" s="10">
        <f t="shared" si="19"/>
        <v>2129.88</v>
      </c>
      <c r="L28" s="10">
        <f t="shared" si="19"/>
        <v>2129.88</v>
      </c>
      <c r="M28" s="10">
        <f t="shared" si="19"/>
        <v>2129.88</v>
      </c>
      <c r="N28" s="10">
        <f t="shared" ref="N28:N42" si="20">SUM(B28:M28)</f>
        <v>25558.560000000009</v>
      </c>
    </row>
    <row r="29" spans="1:15" ht="22.5" customHeight="1" thickBot="1" x14ac:dyDescent="0.3">
      <c r="A29" s="3" t="s">
        <v>2</v>
      </c>
      <c r="B29" s="10">
        <f t="shared" ref="B29" si="21">3549.8*0.17</f>
        <v>603.46600000000012</v>
      </c>
      <c r="C29" s="10">
        <f>3549.8*0.2</f>
        <v>709.96</v>
      </c>
      <c r="D29" s="10">
        <f>3549.8*0.2</f>
        <v>709.96</v>
      </c>
      <c r="E29" s="10">
        <f t="shared" ref="E29:M29" si="22">3549.8*0.2</f>
        <v>709.96</v>
      </c>
      <c r="F29" s="10">
        <f t="shared" si="22"/>
        <v>709.96</v>
      </c>
      <c r="G29" s="10">
        <f t="shared" si="22"/>
        <v>709.96</v>
      </c>
      <c r="H29" s="10">
        <f t="shared" si="22"/>
        <v>709.96</v>
      </c>
      <c r="I29" s="10">
        <f t="shared" si="22"/>
        <v>709.96</v>
      </c>
      <c r="J29" s="10">
        <f t="shared" si="22"/>
        <v>709.96</v>
      </c>
      <c r="K29" s="10">
        <f t="shared" si="22"/>
        <v>709.96</v>
      </c>
      <c r="L29" s="10">
        <f t="shared" si="22"/>
        <v>709.96</v>
      </c>
      <c r="M29" s="10">
        <f t="shared" si="22"/>
        <v>709.96</v>
      </c>
      <c r="N29" s="10">
        <f t="shared" si="20"/>
        <v>8413.0260000000017</v>
      </c>
    </row>
    <row r="30" spans="1:15" ht="21" customHeight="1" thickBot="1" x14ac:dyDescent="0.3">
      <c r="A30" s="3" t="s">
        <v>3</v>
      </c>
      <c r="B30" s="10">
        <f>97015.67*2.3%</f>
        <v>2231.3604099999998</v>
      </c>
      <c r="C30" s="10">
        <f>90122.58*2.6%</f>
        <v>2343.1870800000002</v>
      </c>
      <c r="D30" s="10">
        <f>96380.06*2.6%</f>
        <v>2505.8815600000003</v>
      </c>
      <c r="E30" s="10">
        <f>87640.62*2.6%</f>
        <v>2278.6561200000001</v>
      </c>
      <c r="F30" s="10">
        <f>92627.48*2.6%</f>
        <v>2408.31448</v>
      </c>
      <c r="G30" s="10">
        <f>105633.72*2.6%</f>
        <v>2746.4767200000001</v>
      </c>
      <c r="H30" s="10">
        <f>105710.46*2.6%</f>
        <v>2748.4719600000003</v>
      </c>
      <c r="I30" s="10">
        <f>111067.08*2.6%</f>
        <v>2887.7440800000004</v>
      </c>
      <c r="J30" s="10">
        <f>105737.5*2.6%</f>
        <v>2749.1750000000002</v>
      </c>
      <c r="K30" s="10">
        <f>105737.5*2.6%</f>
        <v>2749.1750000000002</v>
      </c>
      <c r="L30" s="10">
        <f>105737.5*2.6%</f>
        <v>2749.1750000000002</v>
      </c>
      <c r="M30" s="10">
        <f>105740.3*2.6%</f>
        <v>2749.2478000000001</v>
      </c>
      <c r="N30" s="10">
        <f t="shared" si="20"/>
        <v>31146.86521</v>
      </c>
    </row>
    <row r="31" spans="1:15" ht="23.25" customHeight="1" thickBot="1" x14ac:dyDescent="0.3">
      <c r="A31" s="3" t="s">
        <v>4</v>
      </c>
      <c r="B31" s="10">
        <f>78147.34*3%</f>
        <v>2344.4202</v>
      </c>
      <c r="C31" s="10">
        <f>84515.12*3%</f>
        <v>2535.4535999999998</v>
      </c>
      <c r="D31" s="10">
        <f>88920.43*3%</f>
        <v>2667.6128999999996</v>
      </c>
      <c r="E31" s="10">
        <f>73396.72*3%</f>
        <v>2201.9016000000001</v>
      </c>
      <c r="F31" s="10">
        <f>72967.27*3%</f>
        <v>2189.0181000000002</v>
      </c>
      <c r="G31" s="10">
        <f>85341.88*3%</f>
        <v>2560.2564000000002</v>
      </c>
      <c r="H31" s="10">
        <f>100534.77*3%</f>
        <v>3016.0430999999999</v>
      </c>
      <c r="I31" s="10">
        <f>89007.88*3%</f>
        <v>2670.2364000000002</v>
      </c>
      <c r="J31" s="10">
        <f>92167.94*3%</f>
        <v>2765.0382</v>
      </c>
      <c r="K31" s="10">
        <f>130963.86*3%</f>
        <v>3928.9157999999998</v>
      </c>
      <c r="L31" s="10">
        <f>91422.79*3%</f>
        <v>2742.6836999999996</v>
      </c>
      <c r="M31" s="10">
        <f>99933.23*3%</f>
        <v>2997.9968999999996</v>
      </c>
      <c r="N31" s="10">
        <f t="shared" si="20"/>
        <v>32619.5769</v>
      </c>
    </row>
    <row r="32" spans="1:15" ht="23.25" customHeight="1" thickBot="1" x14ac:dyDescent="0.3">
      <c r="A32" s="3" t="s">
        <v>9</v>
      </c>
      <c r="B32" s="20">
        <f>3549.8*12</f>
        <v>42597.600000000006</v>
      </c>
      <c r="C32" s="20">
        <f t="shared" ref="C32:M32" si="23">3549.8*12</f>
        <v>42597.600000000006</v>
      </c>
      <c r="D32" s="20">
        <f t="shared" si="23"/>
        <v>42597.600000000006</v>
      </c>
      <c r="E32" s="20">
        <f t="shared" si="23"/>
        <v>42597.600000000006</v>
      </c>
      <c r="F32" s="20">
        <f t="shared" si="23"/>
        <v>42597.600000000006</v>
      </c>
      <c r="G32" s="20">
        <f t="shared" si="23"/>
        <v>42597.600000000006</v>
      </c>
      <c r="H32" s="20">
        <f t="shared" si="23"/>
        <v>42597.600000000006</v>
      </c>
      <c r="I32" s="20">
        <f t="shared" si="23"/>
        <v>42597.600000000006</v>
      </c>
      <c r="J32" s="20">
        <f t="shared" si="23"/>
        <v>42597.600000000006</v>
      </c>
      <c r="K32" s="20">
        <f t="shared" si="23"/>
        <v>42597.600000000006</v>
      </c>
      <c r="L32" s="20">
        <f t="shared" si="23"/>
        <v>42597.600000000006</v>
      </c>
      <c r="M32" s="20">
        <f t="shared" si="23"/>
        <v>42597.600000000006</v>
      </c>
      <c r="N32" s="10">
        <f t="shared" si="20"/>
        <v>511171.19999999995</v>
      </c>
    </row>
    <row r="33" spans="1:14" ht="26.25" customHeight="1" thickBot="1" x14ac:dyDescent="0.3">
      <c r="A33" s="3" t="s">
        <v>20</v>
      </c>
      <c r="B33" s="10">
        <f>1960.49+230.62</f>
        <v>2191.11</v>
      </c>
      <c r="C33" s="10">
        <f>8038.05+945.53</f>
        <v>8983.58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f t="shared" si="20"/>
        <v>11174.69</v>
      </c>
    </row>
    <row r="34" spans="1:14" ht="26.25" customHeight="1" thickBot="1" x14ac:dyDescent="0.3">
      <c r="A34" s="3" t="s">
        <v>21</v>
      </c>
      <c r="B34" s="10">
        <v>387.65</v>
      </c>
      <c r="C34" s="10">
        <v>387.65</v>
      </c>
      <c r="D34" s="10">
        <v>387.65</v>
      </c>
      <c r="E34" s="10">
        <v>387.65</v>
      </c>
      <c r="F34" s="10">
        <v>387.65</v>
      </c>
      <c r="G34" s="10">
        <v>387.65</v>
      </c>
      <c r="H34" s="10">
        <v>503.97</v>
      </c>
      <c r="I34" s="10">
        <v>503.97</v>
      </c>
      <c r="J34" s="10">
        <v>503.97</v>
      </c>
      <c r="K34" s="10">
        <v>503.97</v>
      </c>
      <c r="L34" s="10">
        <v>503.97</v>
      </c>
      <c r="M34" s="10">
        <v>503.97</v>
      </c>
      <c r="N34" s="10">
        <f t="shared" si="20"/>
        <v>5349.7200000000012</v>
      </c>
    </row>
    <row r="35" spans="1:14" ht="26.25" customHeight="1" thickBot="1" x14ac:dyDescent="0.3">
      <c r="A35" s="3" t="s">
        <v>22</v>
      </c>
      <c r="B35" s="10">
        <v>0</v>
      </c>
      <c r="C35" s="10">
        <v>0</v>
      </c>
      <c r="D35" s="10">
        <v>0</v>
      </c>
      <c r="E35" s="10">
        <v>5265.32</v>
      </c>
      <c r="F35" s="10">
        <v>0</v>
      </c>
      <c r="G35" s="10">
        <v>0</v>
      </c>
      <c r="H35" s="10">
        <v>5377.34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f t="shared" si="20"/>
        <v>10642.66</v>
      </c>
    </row>
    <row r="36" spans="1:14" ht="26.25" customHeight="1" thickBot="1" x14ac:dyDescent="0.3">
      <c r="A36" s="3" t="s">
        <v>26</v>
      </c>
      <c r="B36" s="10">
        <f>260.75+542.04</f>
        <v>802.79</v>
      </c>
      <c r="C36" s="10">
        <f>260.75+67.28</f>
        <v>328.03</v>
      </c>
      <c r="D36" s="10">
        <f>260.75+231.77</f>
        <v>492.52</v>
      </c>
      <c r="E36" s="10">
        <f>260.75+0</f>
        <v>260.75</v>
      </c>
      <c r="F36" s="10">
        <f t="shared" ref="F36:G36" si="24">260.75+0</f>
        <v>260.75</v>
      </c>
      <c r="G36" s="10">
        <f t="shared" si="24"/>
        <v>260.75</v>
      </c>
      <c r="H36" s="10">
        <f>287.76+0</f>
        <v>287.76</v>
      </c>
      <c r="I36" s="10">
        <f t="shared" ref="I36:M36" si="25">287.76+0</f>
        <v>287.76</v>
      </c>
      <c r="J36" s="10">
        <f t="shared" si="25"/>
        <v>287.76</v>
      </c>
      <c r="K36" s="10">
        <f t="shared" si="25"/>
        <v>287.76</v>
      </c>
      <c r="L36" s="10">
        <f t="shared" si="25"/>
        <v>287.76</v>
      </c>
      <c r="M36" s="10">
        <f t="shared" si="25"/>
        <v>287.76</v>
      </c>
      <c r="N36" s="10">
        <f t="shared" si="20"/>
        <v>4132.1500000000015</v>
      </c>
    </row>
    <row r="37" spans="1:14" ht="22.5" customHeight="1" thickBot="1" x14ac:dyDescent="0.3">
      <c r="A37" s="3" t="s">
        <v>6</v>
      </c>
      <c r="B37" s="20">
        <f t="shared" ref="B37:F37" si="26">3549.8*3.35</f>
        <v>11891.830000000002</v>
      </c>
      <c r="C37" s="20">
        <f t="shared" si="26"/>
        <v>11891.830000000002</v>
      </c>
      <c r="D37" s="20">
        <f t="shared" si="26"/>
        <v>11891.830000000002</v>
      </c>
      <c r="E37" s="20">
        <f t="shared" si="26"/>
        <v>11891.830000000002</v>
      </c>
      <c r="F37" s="20">
        <f t="shared" si="26"/>
        <v>11891.830000000002</v>
      </c>
      <c r="G37" s="20">
        <f>3549.8*4.13</f>
        <v>14660.674000000001</v>
      </c>
      <c r="H37" s="20">
        <f t="shared" ref="H37:M37" si="27">3549.8*4.13</f>
        <v>14660.674000000001</v>
      </c>
      <c r="I37" s="20">
        <f t="shared" si="27"/>
        <v>14660.674000000001</v>
      </c>
      <c r="J37" s="20">
        <f t="shared" si="27"/>
        <v>14660.674000000001</v>
      </c>
      <c r="K37" s="20">
        <f t="shared" si="27"/>
        <v>14660.674000000001</v>
      </c>
      <c r="L37" s="20">
        <f t="shared" si="27"/>
        <v>14660.674000000001</v>
      </c>
      <c r="M37" s="20">
        <f t="shared" si="27"/>
        <v>14660.674000000001</v>
      </c>
      <c r="N37" s="10">
        <f t="shared" si="20"/>
        <v>162083.86800000002</v>
      </c>
    </row>
    <row r="38" spans="1:14" ht="21.75" customHeight="1" thickBot="1" x14ac:dyDescent="0.3">
      <c r="A38" s="3" t="s">
        <v>32</v>
      </c>
      <c r="B38" s="10">
        <v>5776.13</v>
      </c>
      <c r="C38" s="10">
        <v>5420.09</v>
      </c>
      <c r="D38" s="10">
        <v>5251.55</v>
      </c>
      <c r="E38" s="10">
        <v>5345.73</v>
      </c>
      <c r="F38" s="10">
        <v>5035.2</v>
      </c>
      <c r="G38" s="10">
        <v>5104.76</v>
      </c>
      <c r="H38" s="10">
        <v>5271.44</v>
      </c>
      <c r="I38" s="10">
        <v>5645.8</v>
      </c>
      <c r="J38" s="10">
        <v>5111.8999999999996</v>
      </c>
      <c r="K38" s="10">
        <v>4807.1000000000004</v>
      </c>
      <c r="L38" s="10">
        <v>5341</v>
      </c>
      <c r="M38" s="10">
        <v>5232.7299999999996</v>
      </c>
      <c r="N38" s="10">
        <f t="shared" si="20"/>
        <v>63343.430000000008</v>
      </c>
    </row>
    <row r="39" spans="1:14" ht="21.75" customHeight="1" thickBot="1" x14ac:dyDescent="0.3">
      <c r="A39" s="3" t="s">
        <v>33</v>
      </c>
      <c r="B39" s="10">
        <v>863</v>
      </c>
      <c r="C39" s="10">
        <v>810</v>
      </c>
      <c r="D39" s="10">
        <v>785</v>
      </c>
      <c r="E39" s="10">
        <v>799</v>
      </c>
      <c r="F39" s="10">
        <v>753</v>
      </c>
      <c r="G39" s="10">
        <v>763</v>
      </c>
      <c r="H39" s="10">
        <v>788</v>
      </c>
      <c r="I39" s="10">
        <v>844</v>
      </c>
      <c r="J39" s="10">
        <v>764</v>
      </c>
      <c r="K39" s="10">
        <v>718</v>
      </c>
      <c r="L39" s="10">
        <v>798</v>
      </c>
      <c r="M39" s="10">
        <v>782</v>
      </c>
      <c r="N39" s="10">
        <f t="shared" si="20"/>
        <v>9467</v>
      </c>
    </row>
    <row r="40" spans="1:14" ht="24.75" customHeight="1" thickBot="1" x14ac:dyDescent="0.3">
      <c r="A40" s="3" t="s">
        <v>25</v>
      </c>
      <c r="B40" s="10">
        <v>1000</v>
      </c>
      <c r="C40" s="10">
        <v>1000</v>
      </c>
      <c r="D40" s="10">
        <v>1000</v>
      </c>
      <c r="E40" s="10">
        <v>1000</v>
      </c>
      <c r="F40" s="10">
        <v>1000</v>
      </c>
      <c r="G40" s="10">
        <v>1000</v>
      </c>
      <c r="H40" s="10">
        <v>1000</v>
      </c>
      <c r="I40" s="10">
        <v>1000</v>
      </c>
      <c r="J40" s="10">
        <v>1000</v>
      </c>
      <c r="K40" s="10">
        <v>1000</v>
      </c>
      <c r="L40" s="10">
        <v>1000</v>
      </c>
      <c r="M40" s="10">
        <v>1000</v>
      </c>
      <c r="N40" s="10">
        <f t="shared" si="20"/>
        <v>12000</v>
      </c>
    </row>
    <row r="41" spans="1:14" ht="24.75" customHeight="1" thickBot="1" x14ac:dyDescent="0.3">
      <c r="A41" s="3" t="s">
        <v>14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22053.41</v>
      </c>
      <c r="K41" s="10">
        <v>0</v>
      </c>
      <c r="L41" s="10">
        <v>0</v>
      </c>
      <c r="M41" s="10">
        <v>0</v>
      </c>
      <c r="N41" s="10">
        <f t="shared" si="20"/>
        <v>22053.41</v>
      </c>
    </row>
    <row r="42" spans="1:14" ht="24" customHeight="1" thickBot="1" x14ac:dyDescent="0.3">
      <c r="A42" s="3" t="s">
        <v>10</v>
      </c>
      <c r="B42" s="10">
        <f>8080.3+11382.7+15564.2+1508.4+2798.3+12972.3+3031.8+13803.8</f>
        <v>69141.8</v>
      </c>
      <c r="C42" s="10">
        <f>3325.6+13408.6+3647.4+4348.3+4754.8+4262.7</f>
        <v>33747.4</v>
      </c>
      <c r="D42" s="10">
        <f>23910+98980.43+6086.9</f>
        <v>128977.32999999999</v>
      </c>
      <c r="E42" s="10">
        <f>1359.7+230000+8687.2+9143.6+16556.4</f>
        <v>265746.90000000002</v>
      </c>
      <c r="F42" s="10">
        <f>120000</f>
        <v>120000</v>
      </c>
      <c r="G42" s="10">
        <v>0</v>
      </c>
      <c r="H42" s="10">
        <f>8417.1</f>
        <v>8417.1</v>
      </c>
      <c r="I42" s="10">
        <f>939.3+125</f>
        <v>1064.3</v>
      </c>
      <c r="J42" s="10">
        <f>16597.2+19715.9+3020.1+1997.5+3548.4</f>
        <v>44879.100000000006</v>
      </c>
      <c r="K42" s="10">
        <f>2571.8+1671.3+2943.5</f>
        <v>7186.6</v>
      </c>
      <c r="L42" s="10">
        <f>145+12779.3</f>
        <v>12924.3</v>
      </c>
      <c r="M42" s="10">
        <f>850+1100</f>
        <v>1950</v>
      </c>
      <c r="N42" s="10">
        <f t="shared" si="20"/>
        <v>694034.83000000007</v>
      </c>
    </row>
    <row r="43" spans="1:14" ht="22.5" customHeight="1" thickBot="1" x14ac:dyDescent="0.3">
      <c r="A43" s="8" t="s">
        <v>23</v>
      </c>
      <c r="B43" s="9">
        <f t="shared" ref="B43:M43" si="28">SUM(B28:B42)</f>
        <v>141961.03661000001</v>
      </c>
      <c r="C43" s="9">
        <f t="shared" si="28"/>
        <v>112884.66068</v>
      </c>
      <c r="D43" s="9">
        <f t="shared" si="28"/>
        <v>199396.81445999999</v>
      </c>
      <c r="E43" s="9">
        <f t="shared" si="28"/>
        <v>340615.17772000004</v>
      </c>
      <c r="F43" s="9">
        <f t="shared" si="28"/>
        <v>189363.20258000001</v>
      </c>
      <c r="G43" s="9">
        <f t="shared" si="28"/>
        <v>72921.007120000009</v>
      </c>
      <c r="H43" s="9">
        <f t="shared" si="28"/>
        <v>87508.239060000022</v>
      </c>
      <c r="I43" s="9">
        <f t="shared" si="28"/>
        <v>75001.924480000016</v>
      </c>
      <c r="J43" s="9">
        <f t="shared" si="28"/>
        <v>140212.46720000001</v>
      </c>
      <c r="K43" s="9">
        <f t="shared" si="28"/>
        <v>81279.634800000029</v>
      </c>
      <c r="L43" s="9">
        <f t="shared" si="28"/>
        <v>86445.002700000012</v>
      </c>
      <c r="M43" s="9">
        <f t="shared" si="28"/>
        <v>75601.818700000003</v>
      </c>
      <c r="N43" s="9">
        <f>SUM(B43:M43)</f>
        <v>1603190.9861100004</v>
      </c>
    </row>
    <row r="44" spans="1:14" ht="23.25" customHeight="1" thickBot="1" x14ac:dyDescent="0.3">
      <c r="A44" s="3" t="s">
        <v>5</v>
      </c>
      <c r="B44" s="17">
        <f t="shared" ref="B44:N44" si="29">B17-B43</f>
        <v>-62957.55661</v>
      </c>
      <c r="C44" s="17">
        <f t="shared" si="29"/>
        <v>-27475.830680000014</v>
      </c>
      <c r="D44" s="17">
        <f t="shared" si="29"/>
        <v>-109644.39446</v>
      </c>
      <c r="E44" s="17">
        <f t="shared" si="29"/>
        <v>-265290.15772000002</v>
      </c>
      <c r="F44" s="17">
        <f t="shared" si="29"/>
        <v>-115586.16258</v>
      </c>
      <c r="G44" s="17">
        <f t="shared" si="29"/>
        <v>13275.282879999984</v>
      </c>
      <c r="H44" s="17">
        <f t="shared" si="29"/>
        <v>13997.390939999983</v>
      </c>
      <c r="I44" s="17">
        <f t="shared" si="29"/>
        <v>14977.575519999984</v>
      </c>
      <c r="J44" s="17">
        <f t="shared" si="29"/>
        <v>-45623.947199999981</v>
      </c>
      <c r="K44" s="17">
        <f t="shared" si="29"/>
        <v>50656.13519999999</v>
      </c>
      <c r="L44" s="17">
        <f t="shared" si="29"/>
        <v>5949.6972999999853</v>
      </c>
      <c r="M44" s="17">
        <f t="shared" si="29"/>
        <v>26003.321299999981</v>
      </c>
      <c r="N44" s="10">
        <f t="shared" si="29"/>
        <v>-501718.64611000055</v>
      </c>
    </row>
    <row r="45" spans="1:14" ht="23.25" customHeight="1" thickBot="1" x14ac:dyDescent="0.3">
      <c r="A45" s="3" t="s">
        <v>7</v>
      </c>
      <c r="B45" s="13">
        <f t="shared" ref="B45:N45" si="30">B5+B44</f>
        <v>-888401.47661000001</v>
      </c>
      <c r="C45" s="13">
        <f t="shared" si="30"/>
        <v>-915877.30729000003</v>
      </c>
      <c r="D45" s="13">
        <f t="shared" si="30"/>
        <v>-1025521.70175</v>
      </c>
      <c r="E45" s="13">
        <f t="shared" si="30"/>
        <v>-1290811.85947</v>
      </c>
      <c r="F45" s="13">
        <f t="shared" si="30"/>
        <v>-1406398.02205</v>
      </c>
      <c r="G45" s="13">
        <f t="shared" si="30"/>
        <v>-1393122.73917</v>
      </c>
      <c r="H45" s="13">
        <f t="shared" si="30"/>
        <v>-1379125.3482299999</v>
      </c>
      <c r="I45" s="13">
        <f t="shared" si="30"/>
        <v>-1364147.7727099999</v>
      </c>
      <c r="J45" s="13">
        <f t="shared" si="30"/>
        <v>-1409771.71991</v>
      </c>
      <c r="K45" s="13">
        <f t="shared" si="30"/>
        <v>-1359115.5847100001</v>
      </c>
      <c r="L45" s="13">
        <f t="shared" si="30"/>
        <v>-1353165.8874100002</v>
      </c>
      <c r="M45" s="13">
        <f t="shared" si="30"/>
        <v>-1327162.5661100002</v>
      </c>
      <c r="N45" s="13">
        <f t="shared" si="30"/>
        <v>-1327162.5661100005</v>
      </c>
    </row>
    <row r="46" spans="1:14" ht="23.25" customHeight="1" thickBot="1" x14ac:dyDescent="0.3">
      <c r="A46" s="3" t="s">
        <v>47</v>
      </c>
      <c r="B46" s="10">
        <v>0</v>
      </c>
      <c r="C46" s="10">
        <v>0</v>
      </c>
      <c r="D46" s="10">
        <v>17185.310000000001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f>SUM(B46:M46)</f>
        <v>17185.310000000001</v>
      </c>
    </row>
    <row r="47" spans="1:14" ht="24" customHeight="1" thickBot="1" x14ac:dyDescent="0.3">
      <c r="A47" s="14" t="s">
        <v>11</v>
      </c>
      <c r="B47" s="18">
        <f t="shared" ref="B47:C47" si="31">B6+B17-B7</f>
        <v>-542708.5</v>
      </c>
      <c r="C47" s="18">
        <f t="shared" si="31"/>
        <v>-548524.24</v>
      </c>
      <c r="D47" s="18">
        <f>D6+D17-D7+D46</f>
        <v>-539044.87</v>
      </c>
      <c r="E47" s="18">
        <f t="shared" ref="E47:N47" si="32">E6+E17-E7+E46</f>
        <v>-552440.24</v>
      </c>
      <c r="F47" s="18">
        <f t="shared" si="32"/>
        <v>-572415.09</v>
      </c>
      <c r="G47" s="18">
        <f t="shared" si="32"/>
        <v>-593093.38</v>
      </c>
      <c r="H47" s="18">
        <f t="shared" si="32"/>
        <v>-598539.83000000007</v>
      </c>
      <c r="I47" s="18">
        <f t="shared" si="32"/>
        <v>-620917.99000000011</v>
      </c>
      <c r="J47" s="18">
        <f t="shared" si="32"/>
        <v>-633308.88000000012</v>
      </c>
      <c r="K47" s="18">
        <f t="shared" si="32"/>
        <v>-608152.52000000014</v>
      </c>
      <c r="L47" s="18">
        <f t="shared" si="32"/>
        <v>-622537.2300000001</v>
      </c>
      <c r="M47" s="18">
        <f t="shared" si="32"/>
        <v>-627714.30000000005</v>
      </c>
      <c r="N47" s="18">
        <f t="shared" si="32"/>
        <v>-627714.3000000004</v>
      </c>
    </row>
    <row r="48" spans="1:14" ht="19.5" hidden="1" customHeight="1" thickBot="1" x14ac:dyDescent="0.35">
      <c r="A48" s="25" t="s">
        <v>29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1"/>
    </row>
    <row r="49" spans="1:14" ht="21.75" hidden="1" customHeight="1" thickBot="1" x14ac:dyDescent="0.35">
      <c r="A49" s="25" t="s">
        <v>11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22"/>
    </row>
  </sheetData>
  <mergeCells count="3">
    <mergeCell ref="A1:N1"/>
    <mergeCell ref="A48:M48"/>
    <mergeCell ref="A49:M49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2026-02-16T05:18:39Z</cp:lastPrinted>
  <dcterms:created xsi:type="dcterms:W3CDTF">2011-06-06T03:25:48Z</dcterms:created>
  <dcterms:modified xsi:type="dcterms:W3CDTF">2026-02-16T05:28:45Z</dcterms:modified>
</cp:coreProperties>
</file>