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19" i="1" l="1"/>
  <c r="M22" i="1"/>
  <c r="M20" i="1"/>
  <c r="M17" i="1"/>
  <c r="K19" i="1"/>
  <c r="K22" i="1"/>
  <c r="K17" i="1" l="1"/>
  <c r="K20" i="1"/>
  <c r="M40" i="1" l="1"/>
  <c r="L40" i="1" l="1"/>
  <c r="K40" i="1" l="1"/>
  <c r="K34" i="1" l="1"/>
  <c r="L34" i="1"/>
  <c r="M34" i="1"/>
  <c r="M31" i="1"/>
  <c r="L31" i="1"/>
  <c r="K31" i="1"/>
  <c r="M29" i="1" l="1"/>
  <c r="M28" i="1"/>
  <c r="M8" i="1"/>
  <c r="L29" i="1" l="1"/>
  <c r="L17" i="1"/>
  <c r="L28" i="1"/>
  <c r="L8" i="1"/>
  <c r="K29" i="1" l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J17" i="1" l="1"/>
  <c r="I17" i="1"/>
  <c r="H19" i="1"/>
  <c r="H22" i="1"/>
  <c r="H20" i="1"/>
  <c r="H17" i="1"/>
  <c r="J40" i="1" l="1"/>
  <c r="I34" i="1" l="1"/>
  <c r="J34" i="1"/>
  <c r="H34" i="1"/>
  <c r="I31" i="1"/>
  <c r="H31" i="1"/>
  <c r="I40" i="1" l="1"/>
  <c r="H40" i="1" l="1"/>
  <c r="J29" i="1" l="1"/>
  <c r="J28" i="1"/>
  <c r="J8" i="1"/>
  <c r="I29" i="1" l="1"/>
  <c r="I28" i="1"/>
  <c r="I8" i="1"/>
  <c r="H29" i="1" l="1"/>
  <c r="H28" i="1"/>
  <c r="H30" i="1"/>
  <c r="I30" i="1"/>
  <c r="J30" i="1"/>
  <c r="H27" i="1"/>
  <c r="I27" i="1"/>
  <c r="J27" i="1"/>
  <c r="H26" i="1"/>
  <c r="I26" i="1"/>
  <c r="J26" i="1"/>
  <c r="H8" i="1"/>
  <c r="J35" i="1" l="1"/>
  <c r="I35" i="1"/>
  <c r="H35" i="1"/>
  <c r="F19" i="1" l="1"/>
  <c r="F22" i="1"/>
  <c r="F21" i="1"/>
  <c r="F20" i="1"/>
  <c r="F17" i="1"/>
  <c r="F40" i="1" l="1"/>
  <c r="E34" i="1" l="1"/>
  <c r="F34" i="1"/>
  <c r="G34" i="1"/>
  <c r="G31" i="1"/>
  <c r="F31" i="1"/>
  <c r="E31" i="1"/>
  <c r="G40" i="1" l="1"/>
  <c r="E40" i="1" l="1"/>
  <c r="G29" i="1" l="1"/>
  <c r="G17" i="1"/>
  <c r="G28" i="1"/>
  <c r="G8" i="1"/>
  <c r="F29" i="1" l="1"/>
  <c r="F28" i="1"/>
  <c r="F8" i="1"/>
  <c r="E29" i="1" l="1"/>
  <c r="E17" i="1"/>
  <c r="E28" i="1"/>
  <c r="E8" i="1"/>
  <c r="E35" i="1" l="1"/>
  <c r="F35" i="1"/>
  <c r="G35" i="1"/>
  <c r="E30" i="1"/>
  <c r="F30" i="1"/>
  <c r="G30" i="1"/>
  <c r="E27" i="1"/>
  <c r="F27" i="1"/>
  <c r="G27" i="1"/>
  <c r="E26" i="1"/>
  <c r="F26" i="1"/>
  <c r="G26" i="1"/>
  <c r="D17" i="1" l="1"/>
  <c r="B17" i="1"/>
  <c r="C34" i="1" l="1"/>
  <c r="D34" i="1"/>
  <c r="B34" i="1"/>
  <c r="D31" i="1"/>
  <c r="B31" i="1"/>
  <c r="D40" i="1" l="1"/>
  <c r="D28" i="1" l="1"/>
  <c r="C30" i="1" l="1"/>
  <c r="D30" i="1"/>
  <c r="B30" i="1"/>
  <c r="C28" i="1"/>
  <c r="D27" i="1"/>
  <c r="C27" i="1"/>
  <c r="D29" i="1" l="1"/>
  <c r="D8" i="1"/>
  <c r="C29" i="1" l="1"/>
  <c r="C17" i="1"/>
  <c r="C8" i="1"/>
  <c r="B29" i="1" l="1"/>
  <c r="B28" i="1"/>
  <c r="B8" i="1"/>
  <c r="C35" i="1" l="1"/>
  <c r="D35" i="1"/>
  <c r="C26" i="1"/>
  <c r="D26" i="1"/>
  <c r="B35" i="1"/>
  <c r="B27" i="1"/>
  <c r="B26" i="1"/>
  <c r="N23" i="1" l="1"/>
  <c r="N36" i="1" l="1"/>
  <c r="N37" i="1"/>
  <c r="N14" i="1" l="1"/>
  <c r="N39" i="1" l="1"/>
  <c r="N32" i="1"/>
  <c r="N33" i="1"/>
  <c r="N34" i="1"/>
  <c r="N38" i="1"/>
  <c r="N31" i="1" l="1"/>
  <c r="N40" i="1" l="1"/>
  <c r="N29" i="1" l="1"/>
  <c r="N28" i="1"/>
  <c r="D41" i="1"/>
  <c r="C41" i="1" l="1"/>
  <c r="N35" i="1"/>
  <c r="N30" i="1"/>
  <c r="N27" i="1"/>
  <c r="B41" i="1" l="1"/>
  <c r="N26" i="1"/>
  <c r="G16" i="1"/>
  <c r="N15" i="1" l="1"/>
  <c r="N8" i="1" l="1"/>
  <c r="H16" i="1"/>
  <c r="N18" i="1" l="1"/>
  <c r="N19" i="1"/>
  <c r="N20" i="1"/>
  <c r="N21" i="1"/>
  <c r="N22" i="1"/>
  <c r="N24" i="1"/>
  <c r="N17" i="1"/>
  <c r="I16" i="1"/>
  <c r="J16" i="1"/>
  <c r="G41" i="1" l="1"/>
  <c r="G42" i="1" s="1"/>
  <c r="N13" i="1"/>
  <c r="N6" i="1" l="1"/>
  <c r="N5" i="1"/>
  <c r="N9" i="1"/>
  <c r="L16" i="1" l="1"/>
  <c r="L7" i="1"/>
  <c r="K16" i="1"/>
  <c r="K7" i="1"/>
  <c r="M16" i="1"/>
  <c r="M7" i="1"/>
  <c r="N10" i="1"/>
  <c r="N12" i="1"/>
  <c r="N11" i="1"/>
  <c r="M41" i="1" l="1"/>
  <c r="M42" i="1" s="1"/>
  <c r="L41" i="1"/>
  <c r="L42" i="1" s="1"/>
  <c r="K41" i="1"/>
  <c r="K42" i="1" l="1"/>
  <c r="I41" i="1"/>
  <c r="I42" i="1" s="1"/>
  <c r="J41" i="1"/>
  <c r="J42" i="1" s="1"/>
  <c r="H7" i="1"/>
  <c r="I7" i="1"/>
  <c r="J7" i="1"/>
  <c r="G7" i="1"/>
  <c r="F16" i="1"/>
  <c r="F7" i="1"/>
  <c r="E16" i="1"/>
  <c r="E7" i="1"/>
  <c r="F41" i="1" l="1"/>
  <c r="F42" i="1" s="1"/>
  <c r="E41" i="1"/>
  <c r="E42" i="1" s="1"/>
  <c r="D16" i="1"/>
  <c r="D7" i="1"/>
  <c r="C16" i="1"/>
  <c r="C7" i="1"/>
  <c r="B16" i="1"/>
  <c r="B7" i="1"/>
  <c r="N7" i="1" l="1"/>
  <c r="N16" i="1"/>
  <c r="D42" i="1"/>
  <c r="C42" i="1"/>
  <c r="H41" i="1"/>
  <c r="H42" i="1" s="1"/>
  <c r="B44" i="1"/>
  <c r="C6" i="1" s="1"/>
  <c r="C44" i="1" s="1"/>
  <c r="N44" i="1" l="1"/>
  <c r="N41" i="1"/>
  <c r="N42" i="1" s="1"/>
  <c r="N43" i="1" s="1"/>
  <c r="D6" i="1"/>
  <c r="D44" i="1" s="1"/>
  <c r="E6" i="1" l="1"/>
  <c r="E44" i="1" s="1"/>
  <c r="B42" i="1"/>
  <c r="B43" i="1" s="1"/>
  <c r="F6" i="1" l="1"/>
  <c r="C5" i="1"/>
  <c r="C43" i="1" l="1"/>
  <c r="D5" i="1" s="1"/>
  <c r="D43" i="1" s="1"/>
  <c r="E5" i="1" s="1"/>
  <c r="E43" i="1" s="1"/>
  <c r="F44" i="1"/>
  <c r="G6" i="1" s="1"/>
  <c r="G44" i="1" s="1"/>
  <c r="H6" i="1" s="1"/>
  <c r="H44" i="1" s="1"/>
  <c r="F5" i="1" l="1"/>
  <c r="I6" i="1"/>
  <c r="I44" i="1" s="1"/>
  <c r="F43" i="1" l="1"/>
  <c r="G5" i="1" s="1"/>
  <c r="G43" i="1" s="1"/>
  <c r="H5" i="1" s="1"/>
  <c r="H43" i="1" s="1"/>
  <c r="J6" i="1"/>
  <c r="J44" i="1" s="1"/>
  <c r="K6" i="1" l="1"/>
  <c r="K44" i="1" s="1"/>
  <c r="I5" i="1"/>
  <c r="I43" i="1" s="1"/>
  <c r="L6" i="1" l="1"/>
  <c r="L44" i="1" s="1"/>
  <c r="J5" i="1"/>
  <c r="J43" i="1" s="1"/>
  <c r="M6" i="1" l="1"/>
  <c r="M44" i="1" s="1"/>
  <c r="K5" i="1"/>
  <c r="K43" i="1" s="1"/>
  <c r="L5" i="1" l="1"/>
  <c r="L43" i="1" s="1"/>
  <c r="M5" i="1" l="1"/>
  <c r="M43" i="1" s="1"/>
</calcChain>
</file>

<file path=xl/sharedStrings.xml><?xml version="1.0" encoding="utf-8"?>
<sst xmlns="http://schemas.openxmlformats.org/spreadsheetml/2006/main" count="55" uniqueCount="45">
  <si>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</si>
  <si>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</si>
  <si>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</si>
  <si>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</si>
  <si>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</si>
  <si>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</si>
  <si>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</si>
  <si>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</si>
  <si>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</si>
  <si>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</si>
  <si>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</si>
  <si>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</si>
  <si>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</si>
  <si>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</si>
  <si>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</si>
  <si>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</si>
  <si>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</si>
  <si>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</si>
  <si>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</si>
  <si>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</si>
  <si>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</si>
  <si>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</si>
  <si>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</si>
  <si>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</si>
  <si>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</si>
  <si>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</si>
  <si>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узла учета тепловой энергии</t>
  </si>
  <si>
    <t>Содержание жилья и текущий ремонт,  ОПУ /нежилые</t>
  </si>
  <si>
    <t xml:space="preserve">Содержание жилья и текущий ремонт,  ОПУ 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</si>
  <si>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</si>
  <si>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</si>
  <si>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</si>
  <si>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</si>
  <si>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</si>
  <si>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</si>
  <si>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</si>
  <si>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</si>
  <si>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</t>
  </si>
  <si>
    <t>Август 2025г</t>
  </si>
  <si>
    <t>Сентябрь 2025г</t>
  </si>
  <si>
    <t>Октябрь 2025г.</t>
  </si>
  <si>
    <t>Ноябрь 2025г.</t>
  </si>
  <si>
    <t>Декабрь 2025г</t>
  </si>
  <si>
    <t>Всего:                       за  2025г</t>
  </si>
  <si>
    <t xml:space="preserve">  ОТЧЕТ по дому Васильева, 40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</si>
</sst>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164" fontId="5" fillId="3" borderId="4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5" fillId="4" borderId="3" xfId="0" applyFont="1" applyFill="1" applyBorder="1" applyAlignment="1">
      <alignment vertical="top" wrapText="1"/>
    </xf>
    <xf numFmtId="164" fontId="5" fillId="4" borderId="4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0" fillId="0" borderId="0" xfId="0" applyAlignment="1"/>
    <xf numFmtId="164" fontId="4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abSelected="1" topLeftCell="A13" zoomScale="75" workbookViewId="0">
      <selection activeCell="B13" sqref="B1:I1048576"/>
    </sheetView>
  </sheetViews>
  <sheetFormatPr defaultRowHeight="13.2" x14ac:dyDescent="0.25"/>
  <cols>
    <col min="1" max="1" width="58" customWidth="1"/>
    <col min="2" max="2" width="15.109375" customWidth="1"/>
    <col min="3" max="3" width="15.21875" customWidth="1"/>
    <col min="4" max="5" width="15.6640625" customWidth="1"/>
    <col min="6" max="6" width="15.33203125" customWidth="1"/>
    <col min="7" max="7" width="15.5546875" customWidth="1"/>
    <col min="8" max="8" width="15.77734375" customWidth="1"/>
    <col min="9" max="9" width="15.44140625" customWidth="1"/>
    <col min="10" max="10" width="16.33203125" customWidth="1"/>
    <col min="11" max="12" width="15.44140625" customWidth="1"/>
    <col min="13" max="13" width="15.33203125" customWidth="1"/>
    <col min="14" max="14" width="15.5546875" customWidth="1"/>
    <col min="15" max="15" width="14.44140625" customWidth="1"/>
  </cols>
  <sheetData>
    <row r="1" spans="1:17" ht="20.25" customHeight="1" x14ac:dyDescent="0.4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9"/>
      <c r="P1" s="19"/>
      <c r="Q1" s="19"/>
    </row>
    <row r="2" spans="1:17" ht="7.5" customHeight="1" thickBot="1" x14ac:dyDescent="0.3">
      <c r="A2" s="1"/>
    </row>
    <row r="3" spans="1:17" ht="3" hidden="1" customHeight="1" thickBot="1" x14ac:dyDescent="0.3">
      <c r="A3" s="1"/>
    </row>
    <row r="4" spans="1:17" ht="38.25" customHeight="1" thickBot="1" x14ac:dyDescent="0.3">
      <c r="A4" s="4" t="s">
        <v>0</v>
      </c>
      <c r="B4" s="5" t="s">
        <v>31</v>
      </c>
      <c r="C4" s="5" t="s">
        <v>32</v>
      </c>
      <c r="D4" s="5" t="s">
        <v>33</v>
      </c>
      <c r="E4" s="5" t="s">
        <v>34</v>
      </c>
      <c r="F4" s="5" t="s">
        <v>35</v>
      </c>
      <c r="G4" s="5" t="s">
        <v>36</v>
      </c>
      <c r="H4" s="5" t="s">
        <v>37</v>
      </c>
      <c r="I4" s="5" t="s">
        <v>38</v>
      </c>
      <c r="J4" s="5" t="s">
        <v>39</v>
      </c>
      <c r="K4" s="5" t="s">
        <v>40</v>
      </c>
      <c r="L4" s="5" t="s">
        <v>41</v>
      </c>
      <c r="M4" s="5" t="s">
        <v>42</v>
      </c>
      <c r="N4" s="5" t="s">
        <v>43</v>
      </c>
    </row>
    <row r="5" spans="1:17" ht="23.25" customHeight="1" thickBot="1" x14ac:dyDescent="0.3">
      <c r="A5" s="6" t="s">
        <v>16</v>
      </c>
      <c r="B5" s="7">
        <v>-1049069.0900000001</v>
      </c>
      <c r="C5" s="7">
        <f t="shared" ref="C5:D5" si="0">B43</f>
        <v>-1049095.3489300001</v>
      </c>
      <c r="D5" s="7">
        <f t="shared" si="0"/>
        <v>-1075563.6541500001</v>
      </c>
      <c r="E5" s="7">
        <f t="shared" ref="E5:G5" si="1">D43</f>
        <v>-1077061.05027</v>
      </c>
      <c r="F5" s="7">
        <f t="shared" si="1"/>
        <v>-1134013.1624499999</v>
      </c>
      <c r="G5" s="7">
        <f t="shared" si="1"/>
        <v>-1140942.6795299998</v>
      </c>
      <c r="H5" s="7">
        <f t="shared" ref="H5" si="2">G43</f>
        <v>-1165525.3040299998</v>
      </c>
      <c r="I5" s="7">
        <f t="shared" ref="I5" si="3">H43</f>
        <v>-1235861.6205499999</v>
      </c>
      <c r="J5" s="7">
        <f t="shared" ref="J5" si="4">I43</f>
        <v>-1251435.7107499999</v>
      </c>
      <c r="K5" s="7">
        <f t="shared" ref="K5" si="5">J43</f>
        <v>-1248952.6379499999</v>
      </c>
      <c r="L5" s="7">
        <f t="shared" ref="L5" si="6">K43</f>
        <v>-1245807.5453299999</v>
      </c>
      <c r="M5" s="7">
        <f t="shared" ref="M5" si="7">L43</f>
        <v>-1292245.76663</v>
      </c>
      <c r="N5" s="7">
        <f>B5</f>
        <v>-1049069.0900000001</v>
      </c>
    </row>
    <row r="6" spans="1:17" ht="21" customHeight="1" thickBot="1" x14ac:dyDescent="0.3">
      <c r="A6" s="6" t="s">
        <v>13</v>
      </c>
      <c r="B6" s="7">
        <v>-958492.03</v>
      </c>
      <c r="C6" s="7">
        <f t="shared" ref="C6:M6" si="8">B44</f>
        <v>-980863.63</v>
      </c>
      <c r="D6" s="7">
        <f t="shared" si="8"/>
        <v>-1030898.2999999999</v>
      </c>
      <c r="E6" s="7">
        <f t="shared" si="8"/>
        <v>-1037335.3699999999</v>
      </c>
      <c r="F6" s="7">
        <f t="shared" si="8"/>
        <v>-1083261.4399999999</v>
      </c>
      <c r="G6" s="7">
        <f t="shared" si="8"/>
        <v>-827497.72999999986</v>
      </c>
      <c r="H6" s="7">
        <f t="shared" si="8"/>
        <v>-797577.71999999974</v>
      </c>
      <c r="I6" s="7">
        <f t="shared" si="8"/>
        <v>-813807.10999999975</v>
      </c>
      <c r="J6" s="7">
        <f t="shared" si="8"/>
        <v>-816208.44999999972</v>
      </c>
      <c r="K6" s="7">
        <f t="shared" si="8"/>
        <v>-828749.57999999973</v>
      </c>
      <c r="L6" s="7">
        <f t="shared" si="8"/>
        <v>-837351.37999999977</v>
      </c>
      <c r="M6" s="7">
        <f t="shared" si="8"/>
        <v>-903679.08999999973</v>
      </c>
      <c r="N6" s="7">
        <f>B6</f>
        <v>-958492.03</v>
      </c>
    </row>
    <row r="7" spans="1:17" ht="20.25" customHeight="1" thickBot="1" x14ac:dyDescent="0.3">
      <c r="A7" s="8" t="s">
        <v>12</v>
      </c>
      <c r="B7" s="9">
        <f t="shared" ref="B7:M7" si="9">SUM(B8:B15)</f>
        <v>99455.91</v>
      </c>
      <c r="C7" s="9">
        <f t="shared" si="9"/>
        <v>99225.72</v>
      </c>
      <c r="D7" s="9">
        <f t="shared" si="9"/>
        <v>96190.12</v>
      </c>
      <c r="E7" s="9">
        <f t="shared" si="9"/>
        <v>101973.38</v>
      </c>
      <c r="F7" s="9">
        <f t="shared" si="9"/>
        <v>100629.08</v>
      </c>
      <c r="G7" s="9">
        <f t="shared" si="9"/>
        <v>98066.95</v>
      </c>
      <c r="H7" s="9">
        <f t="shared" si="9"/>
        <v>102062.52</v>
      </c>
      <c r="I7" s="9">
        <f t="shared" si="9"/>
        <v>122270.25</v>
      </c>
      <c r="J7" s="9">
        <f t="shared" si="9"/>
        <v>121805.25</v>
      </c>
      <c r="K7" s="9">
        <f t="shared" si="9"/>
        <v>118763.63</v>
      </c>
      <c r="L7" s="9">
        <f t="shared" si="9"/>
        <v>128357.6</v>
      </c>
      <c r="M7" s="9">
        <f t="shared" si="9"/>
        <v>125444.09000000001</v>
      </c>
      <c r="N7" s="9">
        <f>SUM(B7:M7)</f>
        <v>1314244.5000000002</v>
      </c>
    </row>
    <row r="8" spans="1:17" ht="24.75" customHeight="1" thickBot="1" x14ac:dyDescent="0.3">
      <c r="A8" s="3" t="s">
        <v>28</v>
      </c>
      <c r="B8" s="10">
        <f t="shared" ref="B8:G8" si="10">90215.25+970.07</f>
        <v>91185.32</v>
      </c>
      <c r="C8" s="10">
        <f t="shared" si="10"/>
        <v>91185.32</v>
      </c>
      <c r="D8" s="10">
        <f t="shared" si="10"/>
        <v>91185.32</v>
      </c>
      <c r="E8" s="10">
        <f t="shared" si="10"/>
        <v>91185.32</v>
      </c>
      <c r="F8" s="10">
        <f t="shared" si="10"/>
        <v>91185.32</v>
      </c>
      <c r="G8" s="10">
        <f t="shared" si="10"/>
        <v>91185.32</v>
      </c>
      <c r="H8" s="10">
        <f>90215.25+970.07</f>
        <v>91185.32</v>
      </c>
      <c r="I8" s="10">
        <f>111152.25+970.07</f>
        <v>112122.32</v>
      </c>
      <c r="J8" s="10">
        <f>111152.25+970.07</f>
        <v>112122.32</v>
      </c>
      <c r="K8" s="10">
        <f>111152.25+970.07</f>
        <v>112122.32</v>
      </c>
      <c r="L8" s="10">
        <f>111152.25+970.07</f>
        <v>112122.32</v>
      </c>
      <c r="M8" s="10">
        <f>111152.25+970.07</f>
        <v>112122.32</v>
      </c>
      <c r="N8" s="10">
        <f>SUM(B8:M8)</f>
        <v>1198908.8400000003</v>
      </c>
    </row>
    <row r="9" spans="1:17" ht="24.75" hidden="1" customHeight="1" thickBot="1" x14ac:dyDescent="0.3">
      <c r="A9" s="3" t="s">
        <v>27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f t="shared" ref="N9:N12" si="11">SUM(B9:M9)</f>
        <v>0</v>
      </c>
    </row>
    <row r="10" spans="1:17" ht="24.75" customHeight="1" thickBot="1" x14ac:dyDescent="0.3">
      <c r="A10" s="3" t="s">
        <v>17</v>
      </c>
      <c r="B10" s="10">
        <v>1428.96</v>
      </c>
      <c r="C10" s="10">
        <v>1198.77</v>
      </c>
      <c r="D10" s="10">
        <v>-1836.83</v>
      </c>
      <c r="E10" s="10">
        <v>2701.05</v>
      </c>
      <c r="F10" s="10">
        <v>2602.13</v>
      </c>
      <c r="G10" s="10">
        <v>40</v>
      </c>
      <c r="H10" s="10">
        <v>3961.6</v>
      </c>
      <c r="I10" s="10">
        <v>3206.62</v>
      </c>
      <c r="J10" s="10">
        <v>2741.62</v>
      </c>
      <c r="K10" s="10">
        <v>0</v>
      </c>
      <c r="L10" s="10">
        <v>9593.9699999999993</v>
      </c>
      <c r="M10" s="10">
        <v>6680.46</v>
      </c>
      <c r="N10" s="10">
        <f t="shared" si="11"/>
        <v>32318.35</v>
      </c>
    </row>
    <row r="11" spans="1:17" ht="24.6" customHeight="1" thickBot="1" x14ac:dyDescent="0.3">
      <c r="A11" s="3" t="s">
        <v>18</v>
      </c>
      <c r="B11" s="10">
        <v>246.78</v>
      </c>
      <c r="C11" s="10">
        <v>246.78</v>
      </c>
      <c r="D11" s="10">
        <v>246.78</v>
      </c>
      <c r="E11" s="10">
        <v>246.78</v>
      </c>
      <c r="F11" s="10">
        <v>246.78</v>
      </c>
      <c r="G11" s="10">
        <v>246.78</v>
      </c>
      <c r="H11" s="10">
        <v>320.75</v>
      </c>
      <c r="I11" s="10">
        <v>320.75</v>
      </c>
      <c r="J11" s="10">
        <v>320.75</v>
      </c>
      <c r="K11" s="10">
        <v>320.75</v>
      </c>
      <c r="L11" s="10">
        <v>320.75</v>
      </c>
      <c r="M11" s="10">
        <v>320.75</v>
      </c>
      <c r="N11" s="10">
        <f t="shared" si="11"/>
        <v>3405.1800000000003</v>
      </c>
    </row>
    <row r="12" spans="1:17" ht="22.5" customHeight="1" thickBot="1" x14ac:dyDescent="0.3">
      <c r="A12" s="3" t="s">
        <v>19</v>
      </c>
      <c r="B12" s="10">
        <v>0</v>
      </c>
      <c r="C12" s="10">
        <v>0</v>
      </c>
      <c r="D12" s="10">
        <v>0</v>
      </c>
      <c r="E12" s="10">
        <v>1245.3800000000001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f t="shared" si="11"/>
        <v>1245.3800000000001</v>
      </c>
    </row>
    <row r="13" spans="1:17" ht="22.5" customHeight="1" thickBot="1" x14ac:dyDescent="0.3">
      <c r="A13" s="3" t="s">
        <v>25</v>
      </c>
      <c r="B13" s="10">
        <v>248.95</v>
      </c>
      <c r="C13" s="10">
        <v>248.95</v>
      </c>
      <c r="D13" s="10">
        <v>248.95</v>
      </c>
      <c r="E13" s="10">
        <v>248.95</v>
      </c>
      <c r="F13" s="10">
        <v>248.95</v>
      </c>
      <c r="G13" s="10">
        <v>248.95</v>
      </c>
      <c r="H13" s="10">
        <v>248.95</v>
      </c>
      <c r="I13" s="10">
        <v>274.66000000000003</v>
      </c>
      <c r="J13" s="10">
        <v>274.66000000000003</v>
      </c>
      <c r="K13" s="10">
        <v>274.66000000000003</v>
      </c>
      <c r="L13" s="10">
        <v>274.66000000000003</v>
      </c>
      <c r="M13" s="10">
        <v>274.66000000000003</v>
      </c>
      <c r="N13" s="10">
        <f>SUM(B13:M13)</f>
        <v>3115.95</v>
      </c>
    </row>
    <row r="14" spans="1:17" ht="22.5" customHeight="1" thickBot="1" x14ac:dyDescent="0.3">
      <c r="A14" s="3" t="s">
        <v>29</v>
      </c>
      <c r="B14" s="10">
        <v>5875.9</v>
      </c>
      <c r="C14" s="10">
        <v>5875.9</v>
      </c>
      <c r="D14" s="10">
        <v>5875.9</v>
      </c>
      <c r="E14" s="10">
        <v>5875.9</v>
      </c>
      <c r="F14" s="10">
        <v>5875.9</v>
      </c>
      <c r="G14" s="10">
        <v>5875.9</v>
      </c>
      <c r="H14" s="10">
        <v>5875.9</v>
      </c>
      <c r="I14" s="10">
        <v>5875.9</v>
      </c>
      <c r="J14" s="10">
        <v>5875.9</v>
      </c>
      <c r="K14" s="10">
        <v>5875.9</v>
      </c>
      <c r="L14" s="10">
        <v>5875.9</v>
      </c>
      <c r="M14" s="10">
        <v>5875.9</v>
      </c>
      <c r="N14" s="10">
        <f>SUM(B14:M14)</f>
        <v>70510.8</v>
      </c>
    </row>
    <row r="15" spans="1:17" ht="24" customHeight="1" thickBot="1" x14ac:dyDescent="0.3">
      <c r="A15" s="3" t="s">
        <v>15</v>
      </c>
      <c r="B15" s="10">
        <v>470</v>
      </c>
      <c r="C15" s="10">
        <v>470</v>
      </c>
      <c r="D15" s="10">
        <v>470</v>
      </c>
      <c r="E15" s="10">
        <v>470</v>
      </c>
      <c r="F15" s="10">
        <v>470</v>
      </c>
      <c r="G15" s="10">
        <v>470</v>
      </c>
      <c r="H15" s="10">
        <v>470</v>
      </c>
      <c r="I15" s="10">
        <v>470</v>
      </c>
      <c r="J15" s="10">
        <v>470</v>
      </c>
      <c r="K15" s="10">
        <v>170</v>
      </c>
      <c r="L15" s="10">
        <v>170</v>
      </c>
      <c r="M15" s="10">
        <v>170</v>
      </c>
      <c r="N15" s="10">
        <f>SUM(B15:M15)</f>
        <v>4740</v>
      </c>
    </row>
    <row r="16" spans="1:17" ht="20.25" customHeight="1" thickBot="1" x14ac:dyDescent="0.3">
      <c r="A16" s="11" t="s">
        <v>8</v>
      </c>
      <c r="B16" s="12">
        <f t="shared" ref="B16:M16" si="12">SUM(B17:B24)</f>
        <v>77084.31</v>
      </c>
      <c r="C16" s="12">
        <f t="shared" si="12"/>
        <v>49191.05</v>
      </c>
      <c r="D16" s="12">
        <f t="shared" si="12"/>
        <v>89753.05</v>
      </c>
      <c r="E16" s="12">
        <f t="shared" si="12"/>
        <v>56047.310000000005</v>
      </c>
      <c r="F16" s="12">
        <f t="shared" si="12"/>
        <v>356392.79000000004</v>
      </c>
      <c r="G16" s="12">
        <f t="shared" si="12"/>
        <v>127986.96000000002</v>
      </c>
      <c r="H16" s="12">
        <f>SUM(H17:H24)</f>
        <v>85833.129999999976</v>
      </c>
      <c r="I16" s="12">
        <f t="shared" si="12"/>
        <v>119868.91</v>
      </c>
      <c r="J16" s="12">
        <f t="shared" si="12"/>
        <v>109264.12</v>
      </c>
      <c r="K16" s="12">
        <f t="shared" si="12"/>
        <v>110161.82999999999</v>
      </c>
      <c r="L16" s="12">
        <f t="shared" si="12"/>
        <v>62029.89</v>
      </c>
      <c r="M16" s="12">
        <f t="shared" si="12"/>
        <v>189443.46</v>
      </c>
      <c r="N16" s="12">
        <f>SUM(B16:M16)</f>
        <v>1433056.8099999998</v>
      </c>
    </row>
    <row r="17" spans="1:15" ht="24" customHeight="1" thickBot="1" x14ac:dyDescent="0.3">
      <c r="A17" s="3" t="s">
        <v>28</v>
      </c>
      <c r="B17" s="10">
        <f>50993.51+515.35+19678.81</f>
        <v>71187.67</v>
      </c>
      <c r="C17" s="10">
        <f>-157.1+43673.48+465.25</f>
        <v>43981.630000000005</v>
      </c>
      <c r="D17" s="10">
        <f>63557.51+583.92+19290.45</f>
        <v>83431.88</v>
      </c>
      <c r="E17" s="10">
        <f>49053.48+520.36</f>
        <v>49573.840000000004</v>
      </c>
      <c r="F17" s="10">
        <f>47329.23+486.27+282818.59</f>
        <v>330634.09000000003</v>
      </c>
      <c r="G17" s="10">
        <f>114415.74+2094.27+421</f>
        <v>116931.01000000001</v>
      </c>
      <c r="H17" s="10">
        <f>46551.35+497.43+32906.02</f>
        <v>79954.799999999988</v>
      </c>
      <c r="I17" s="10">
        <f>93328.4+1475.45+14674.02</f>
        <v>109477.87</v>
      </c>
      <c r="J17" s="10">
        <f>65943.09+672.86+33099.33</f>
        <v>99715.28</v>
      </c>
      <c r="K17" s="10">
        <f>60315.33+561.18+40461.57</f>
        <v>101338.08</v>
      </c>
      <c r="L17" s="10">
        <f>56543.64+485.59</f>
        <v>57029.229999999996</v>
      </c>
      <c r="M17" s="10">
        <f>60961.17+528.5+113829.16</f>
        <v>175318.83000000002</v>
      </c>
      <c r="N17" s="10">
        <f>SUM(B17:M17)</f>
        <v>1318574.21</v>
      </c>
    </row>
    <row r="18" spans="1:15" ht="24" hidden="1" customHeight="1" thickBot="1" x14ac:dyDescent="0.3">
      <c r="A18" s="3" t="s">
        <v>27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>
        <f t="shared" ref="N18:N24" si="13">SUM(B18:M18)</f>
        <v>0</v>
      </c>
    </row>
    <row r="19" spans="1:15" ht="26.25" customHeight="1" thickBot="1" x14ac:dyDescent="0.3">
      <c r="A19" s="3" t="s">
        <v>17</v>
      </c>
      <c r="B19" s="10">
        <v>926.2</v>
      </c>
      <c r="C19" s="10">
        <v>693.18</v>
      </c>
      <c r="D19" s="10">
        <v>778.72</v>
      </c>
      <c r="E19" s="10">
        <v>23.31</v>
      </c>
      <c r="F19" s="10">
        <f>570.52+11000</f>
        <v>11570.52</v>
      </c>
      <c r="G19" s="10">
        <v>3311.19</v>
      </c>
      <c r="H19" s="10">
        <f>67.46+513.1+45.97+379.97</f>
        <v>1006.5000000000001</v>
      </c>
      <c r="I19" s="10">
        <v>3090.35</v>
      </c>
      <c r="J19" s="10">
        <v>1925.59</v>
      </c>
      <c r="K19" s="10">
        <f>1480.18+632.3+468.24+56.65</f>
        <v>2637.3700000000003</v>
      </c>
      <c r="L19" s="10">
        <v>37.380000000000003</v>
      </c>
      <c r="M19" s="10">
        <f>5029.62+2427.21</f>
        <v>7456.83</v>
      </c>
      <c r="N19" s="10">
        <f t="shared" si="13"/>
        <v>33457.14</v>
      </c>
    </row>
    <row r="20" spans="1:15" ht="26.25" customHeight="1" thickBot="1" x14ac:dyDescent="0.3">
      <c r="A20" s="3" t="s">
        <v>18</v>
      </c>
      <c r="B20" s="10">
        <v>139.38</v>
      </c>
      <c r="C20" s="10">
        <v>119.04</v>
      </c>
      <c r="D20" s="10">
        <v>173.37</v>
      </c>
      <c r="E20" s="10">
        <v>134.29</v>
      </c>
      <c r="F20" s="10">
        <f>129.63+2000</f>
        <v>2129.63</v>
      </c>
      <c r="G20" s="10">
        <v>387.8</v>
      </c>
      <c r="H20" s="10">
        <f>126.41+63.09</f>
        <v>189.5</v>
      </c>
      <c r="I20" s="10">
        <v>311.25</v>
      </c>
      <c r="J20" s="10">
        <v>194.06</v>
      </c>
      <c r="K20" s="10">
        <f>173.39+63.25+46.83+5.66</f>
        <v>289.13</v>
      </c>
      <c r="L20" s="10">
        <v>163.16</v>
      </c>
      <c r="M20" s="10">
        <f>175.89+347.22</f>
        <v>523.11</v>
      </c>
      <c r="N20" s="10">
        <f t="shared" si="13"/>
        <v>4753.72</v>
      </c>
    </row>
    <row r="21" spans="1:15" ht="24" customHeight="1" thickBot="1" x14ac:dyDescent="0.3">
      <c r="A21" s="3" t="s">
        <v>19</v>
      </c>
      <c r="B21" s="10">
        <v>3.69</v>
      </c>
      <c r="C21" s="10">
        <v>0.2</v>
      </c>
      <c r="D21" s="10">
        <v>9.27</v>
      </c>
      <c r="E21" s="10">
        <v>18.16</v>
      </c>
      <c r="F21" s="10">
        <f>594.38+4000</f>
        <v>4594.38</v>
      </c>
      <c r="G21" s="10">
        <v>1482.5</v>
      </c>
      <c r="H21" s="10">
        <v>0</v>
      </c>
      <c r="I21" s="10">
        <v>516.79</v>
      </c>
      <c r="J21" s="10">
        <v>3.81</v>
      </c>
      <c r="K21" s="10">
        <v>2.5299999999999998</v>
      </c>
      <c r="L21" s="10">
        <v>0</v>
      </c>
      <c r="M21" s="10">
        <v>0</v>
      </c>
      <c r="N21" s="10">
        <f t="shared" si="13"/>
        <v>6631.33</v>
      </c>
    </row>
    <row r="22" spans="1:15" ht="24" customHeight="1" thickBot="1" x14ac:dyDescent="0.3">
      <c r="A22" s="3" t="s">
        <v>25</v>
      </c>
      <c r="B22" s="10">
        <v>4.03</v>
      </c>
      <c r="C22" s="10">
        <v>0</v>
      </c>
      <c r="D22" s="10">
        <v>44.26</v>
      </c>
      <c r="E22" s="10">
        <v>0.24</v>
      </c>
      <c r="F22" s="10">
        <f>3.19+3000</f>
        <v>3003.19</v>
      </c>
      <c r="G22" s="10">
        <v>337.74</v>
      </c>
      <c r="H22" s="10">
        <f>14.15+7.78</f>
        <v>21.93</v>
      </c>
      <c r="I22" s="10">
        <v>218.83</v>
      </c>
      <c r="J22" s="10">
        <v>142.88999999999999</v>
      </c>
      <c r="K22" s="10">
        <f>148.8+54.17+40.11+4.85</f>
        <v>247.93000000000004</v>
      </c>
      <c r="L22" s="10">
        <v>139.72</v>
      </c>
      <c r="M22" s="10">
        <f>150.63+288.08</f>
        <v>438.71</v>
      </c>
      <c r="N22" s="10">
        <f t="shared" si="13"/>
        <v>4599.4699999999993</v>
      </c>
    </row>
    <row r="23" spans="1:15" ht="24" customHeight="1" thickBot="1" x14ac:dyDescent="0.3">
      <c r="A23" s="3" t="s">
        <v>29</v>
      </c>
      <c r="B23" s="10">
        <v>4723.34</v>
      </c>
      <c r="C23" s="10">
        <v>4297</v>
      </c>
      <c r="D23" s="10">
        <v>5215.55</v>
      </c>
      <c r="E23" s="10">
        <v>5077.47</v>
      </c>
      <c r="F23" s="10">
        <v>4360.9799999999996</v>
      </c>
      <c r="G23" s="10">
        <v>5436.72</v>
      </c>
      <c r="H23" s="10">
        <v>4560.3999999999996</v>
      </c>
      <c r="I23" s="10">
        <v>6153.82</v>
      </c>
      <c r="J23" s="10">
        <v>5082.49</v>
      </c>
      <c r="K23" s="10">
        <v>5546.79</v>
      </c>
      <c r="L23" s="10">
        <v>4560.3999999999996</v>
      </c>
      <c r="M23" s="10">
        <v>4905.9799999999996</v>
      </c>
      <c r="N23" s="10">
        <f t="shared" si="13"/>
        <v>59920.94</v>
      </c>
    </row>
    <row r="24" spans="1:15" ht="21" customHeight="1" thickBot="1" x14ac:dyDescent="0.3">
      <c r="A24" s="3" t="s">
        <v>15</v>
      </c>
      <c r="B24" s="13">
        <v>100</v>
      </c>
      <c r="C24" s="13">
        <v>100</v>
      </c>
      <c r="D24" s="13">
        <v>100</v>
      </c>
      <c r="E24" s="13">
        <v>1220</v>
      </c>
      <c r="F24" s="13">
        <v>100</v>
      </c>
      <c r="G24" s="13">
        <v>100</v>
      </c>
      <c r="H24" s="13">
        <v>100</v>
      </c>
      <c r="I24" s="13">
        <v>100</v>
      </c>
      <c r="J24" s="13">
        <v>2200</v>
      </c>
      <c r="K24" s="10">
        <v>100</v>
      </c>
      <c r="L24" s="10">
        <v>100</v>
      </c>
      <c r="M24" s="10">
        <v>800</v>
      </c>
      <c r="N24" s="10">
        <f t="shared" si="13"/>
        <v>5120</v>
      </c>
      <c r="O24" s="2"/>
    </row>
    <row r="25" spans="1:15" ht="21.75" customHeight="1" thickBot="1" x14ac:dyDescent="0.3">
      <c r="A25" s="14" t="s">
        <v>24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5" ht="24" customHeight="1" thickBot="1" x14ac:dyDescent="0.3">
      <c r="A26" s="3" t="s">
        <v>1</v>
      </c>
      <c r="B26" s="10">
        <f t="shared" ref="B26:M26" si="14">4041.9*0.6</f>
        <v>2425.14</v>
      </c>
      <c r="C26" s="10">
        <f t="shared" si="14"/>
        <v>2425.14</v>
      </c>
      <c r="D26" s="10">
        <f t="shared" si="14"/>
        <v>2425.14</v>
      </c>
      <c r="E26" s="10">
        <f t="shared" si="14"/>
        <v>2425.14</v>
      </c>
      <c r="F26" s="10">
        <f t="shared" si="14"/>
        <v>2425.14</v>
      </c>
      <c r="G26" s="10">
        <f t="shared" si="14"/>
        <v>2425.14</v>
      </c>
      <c r="H26" s="10">
        <f t="shared" si="14"/>
        <v>2425.14</v>
      </c>
      <c r="I26" s="10">
        <f t="shared" si="14"/>
        <v>2425.14</v>
      </c>
      <c r="J26" s="10">
        <f t="shared" si="14"/>
        <v>2425.14</v>
      </c>
      <c r="K26" s="10">
        <f t="shared" si="14"/>
        <v>2425.14</v>
      </c>
      <c r="L26" s="10">
        <f t="shared" si="14"/>
        <v>2425.14</v>
      </c>
      <c r="M26" s="10">
        <f t="shared" si="14"/>
        <v>2425.14</v>
      </c>
      <c r="N26" s="10">
        <f>SUM(B26:M26)</f>
        <v>29101.679999999997</v>
      </c>
    </row>
    <row r="27" spans="1:15" ht="24.6" customHeight="1" thickBot="1" x14ac:dyDescent="0.3">
      <c r="A27" s="3" t="s">
        <v>2</v>
      </c>
      <c r="B27" s="10">
        <f t="shared" ref="B27" si="15">4041.9*0.17</f>
        <v>687.12300000000005</v>
      </c>
      <c r="C27" s="10">
        <f>4041.9*0.2</f>
        <v>808.38000000000011</v>
      </c>
      <c r="D27" s="10">
        <f>4041.9*0.2</f>
        <v>808.38000000000011</v>
      </c>
      <c r="E27" s="10">
        <f t="shared" ref="E27:M27" si="16">4041.9*0.2</f>
        <v>808.38000000000011</v>
      </c>
      <c r="F27" s="10">
        <f t="shared" si="16"/>
        <v>808.38000000000011</v>
      </c>
      <c r="G27" s="10">
        <f t="shared" si="16"/>
        <v>808.38000000000011</v>
      </c>
      <c r="H27" s="10">
        <f t="shared" si="16"/>
        <v>808.38000000000011</v>
      </c>
      <c r="I27" s="10">
        <f t="shared" si="16"/>
        <v>808.38000000000011</v>
      </c>
      <c r="J27" s="10">
        <f t="shared" si="16"/>
        <v>808.38000000000011</v>
      </c>
      <c r="K27" s="10">
        <f t="shared" si="16"/>
        <v>808.38000000000011</v>
      </c>
      <c r="L27" s="10">
        <f t="shared" si="16"/>
        <v>808.38000000000011</v>
      </c>
      <c r="M27" s="10">
        <f t="shared" si="16"/>
        <v>808.38000000000011</v>
      </c>
      <c r="N27" s="10">
        <f>SUM(B27:M27)</f>
        <v>9579.3030000000035</v>
      </c>
    </row>
    <row r="28" spans="1:15" ht="26.4" customHeight="1" thickBot="1" x14ac:dyDescent="0.3">
      <c r="A28" s="3" t="s">
        <v>3</v>
      </c>
      <c r="B28" s="10">
        <f>98985.91*2.3%</f>
        <v>2276.6759299999999</v>
      </c>
      <c r="C28" s="10">
        <f>98755.72*2.6%</f>
        <v>2567.6487200000001</v>
      </c>
      <c r="D28" s="10">
        <f>95720.12*2.6%</f>
        <v>2488.7231200000001</v>
      </c>
      <c r="E28" s="10">
        <f>101503.38*2.6%</f>
        <v>2639.0878800000005</v>
      </c>
      <c r="F28" s="10">
        <f>100159.08*2.6%</f>
        <v>2604.1360800000002</v>
      </c>
      <c r="G28" s="10">
        <f>97596.95*2.6%</f>
        <v>2537.5207</v>
      </c>
      <c r="H28" s="10">
        <f>101592.52*2.6%</f>
        <v>2641.4055200000003</v>
      </c>
      <c r="I28" s="10">
        <f>121800.25*2.6%</f>
        <v>3166.8065000000001</v>
      </c>
      <c r="J28" s="10">
        <f>121335.25*2.6%</f>
        <v>3154.7165000000005</v>
      </c>
      <c r="K28" s="10">
        <f>118593.63*2.6%</f>
        <v>3083.4343800000006</v>
      </c>
      <c r="L28" s="10">
        <f>128187.6*2.6%</f>
        <v>3332.8776000000003</v>
      </c>
      <c r="M28" s="10">
        <f>125274.09*2.6%</f>
        <v>3257.1263400000003</v>
      </c>
      <c r="N28" s="10">
        <f t="shared" ref="N28:N40" si="17">SUM(B28:M28)</f>
        <v>33750.159270000004</v>
      </c>
    </row>
    <row r="29" spans="1:15" ht="24.6" customHeight="1" thickBot="1" x14ac:dyDescent="0.3">
      <c r="A29" s="3" t="s">
        <v>4</v>
      </c>
      <c r="B29" s="10">
        <f>57305.5*3%</f>
        <v>1719.165</v>
      </c>
      <c r="C29" s="10">
        <f>49091.05*3%</f>
        <v>1472.7315000000001</v>
      </c>
      <c r="D29" s="10">
        <f>70362.6*3%</f>
        <v>2110.8780000000002</v>
      </c>
      <c r="E29" s="10">
        <f>54827.31*3%</f>
        <v>1644.8192999999999</v>
      </c>
      <c r="F29" s="10">
        <f>53474.2*3%</f>
        <v>1604.2259999999999</v>
      </c>
      <c r="G29" s="10">
        <f>127886.96*3%</f>
        <v>3836.6088</v>
      </c>
      <c r="H29" s="10">
        <f>51817.2*3%</f>
        <v>1554.5159999999998</v>
      </c>
      <c r="I29" s="10">
        <f>105094.89*3%</f>
        <v>3152.8467000000001</v>
      </c>
      <c r="J29" s="10">
        <f>73964.79*3%</f>
        <v>2218.9436999999998</v>
      </c>
      <c r="K29" s="10">
        <f>68228.2*3%</f>
        <v>2046.8459999999998</v>
      </c>
      <c r="L29" s="10">
        <f>61929.89*3%</f>
        <v>1857.8967</v>
      </c>
      <c r="M29" s="10">
        <f>71751.79*3%</f>
        <v>2152.5536999999999</v>
      </c>
      <c r="N29" s="10">
        <f t="shared" si="17"/>
        <v>25372.0314</v>
      </c>
    </row>
    <row r="30" spans="1:15" ht="23.25" customHeight="1" thickBot="1" x14ac:dyDescent="0.3">
      <c r="A30" s="3" t="s">
        <v>9</v>
      </c>
      <c r="B30" s="20">
        <f>4041.9*12</f>
        <v>48502.8</v>
      </c>
      <c r="C30" s="20">
        <f t="shared" ref="C30:M30" si="18">4041.9*12</f>
        <v>48502.8</v>
      </c>
      <c r="D30" s="20">
        <f t="shared" si="18"/>
        <v>48502.8</v>
      </c>
      <c r="E30" s="20">
        <f t="shared" si="18"/>
        <v>48502.8</v>
      </c>
      <c r="F30" s="20">
        <f t="shared" si="18"/>
        <v>48502.8</v>
      </c>
      <c r="G30" s="20">
        <f t="shared" si="18"/>
        <v>48502.8</v>
      </c>
      <c r="H30" s="20">
        <f t="shared" si="18"/>
        <v>48502.8</v>
      </c>
      <c r="I30" s="20">
        <f t="shared" si="18"/>
        <v>48502.8</v>
      </c>
      <c r="J30" s="20">
        <f t="shared" si="18"/>
        <v>48502.8</v>
      </c>
      <c r="K30" s="20">
        <f t="shared" si="18"/>
        <v>48502.8</v>
      </c>
      <c r="L30" s="20">
        <f t="shared" si="18"/>
        <v>48502.8</v>
      </c>
      <c r="M30" s="20">
        <f t="shared" si="18"/>
        <v>48502.8</v>
      </c>
      <c r="N30" s="10">
        <f t="shared" si="17"/>
        <v>582033.6</v>
      </c>
    </row>
    <row r="31" spans="1:15" ht="26.25" customHeight="1" thickBot="1" x14ac:dyDescent="0.3">
      <c r="A31" s="3" t="s">
        <v>20</v>
      </c>
      <c r="B31" s="10">
        <f>1072.54+126.16</f>
        <v>1198.7</v>
      </c>
      <c r="C31" s="10">
        <v>0</v>
      </c>
      <c r="D31" s="10">
        <f>2313.33+387.64</f>
        <v>2700.97</v>
      </c>
      <c r="E31" s="10">
        <f>2113.93+488.2</f>
        <v>2602.1299999999997</v>
      </c>
      <c r="F31" s="10">
        <f>0+40.01</f>
        <v>40.01</v>
      </c>
      <c r="G31" s="10">
        <f>3544.67+416.97</f>
        <v>3961.6400000000003</v>
      </c>
      <c r="H31" s="10">
        <f>2891.94+314.71</f>
        <v>3206.65</v>
      </c>
      <c r="I31" s="10">
        <f>2472.51+269.09</f>
        <v>2741.6000000000004</v>
      </c>
      <c r="J31" s="10">
        <v>0</v>
      </c>
      <c r="K31" s="10">
        <f>8428.18+1165.85</f>
        <v>9594.0300000000007</v>
      </c>
      <c r="L31" s="10">
        <f>5631.33+1049.08</f>
        <v>6680.41</v>
      </c>
      <c r="M31" s="10">
        <f>11404.12+1550.67</f>
        <v>12954.79</v>
      </c>
      <c r="N31" s="10">
        <f t="shared" si="17"/>
        <v>45680.930000000008</v>
      </c>
    </row>
    <row r="32" spans="1:15" ht="26.25" customHeight="1" thickBot="1" x14ac:dyDescent="0.3">
      <c r="A32" s="3" t="s">
        <v>21</v>
      </c>
      <c r="B32" s="10">
        <v>370.05</v>
      </c>
      <c r="C32" s="10">
        <v>370.05</v>
      </c>
      <c r="D32" s="10">
        <v>370.05</v>
      </c>
      <c r="E32" s="10">
        <v>370.05</v>
      </c>
      <c r="F32" s="10">
        <v>370.05</v>
      </c>
      <c r="G32" s="10">
        <v>370.05</v>
      </c>
      <c r="H32" s="10">
        <v>481.08</v>
      </c>
      <c r="I32" s="10">
        <v>481.08</v>
      </c>
      <c r="J32" s="10">
        <v>481.08</v>
      </c>
      <c r="K32" s="10">
        <v>481.08</v>
      </c>
      <c r="L32" s="10">
        <v>481.08</v>
      </c>
      <c r="M32" s="10">
        <v>481.08</v>
      </c>
      <c r="N32" s="10">
        <f t="shared" si="17"/>
        <v>5106.78</v>
      </c>
    </row>
    <row r="33" spans="1:14" ht="26.25" customHeight="1" thickBot="1" x14ac:dyDescent="0.3">
      <c r="A33" s="3" t="s">
        <v>22</v>
      </c>
      <c r="B33" s="10">
        <v>0</v>
      </c>
      <c r="C33" s="10">
        <v>0</v>
      </c>
      <c r="D33" s="10">
        <v>1245.44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f t="shared" si="17"/>
        <v>1245.44</v>
      </c>
    </row>
    <row r="34" spans="1:14" ht="26.25" customHeight="1" thickBot="1" x14ac:dyDescent="0.3">
      <c r="A34" s="3" t="s">
        <v>25</v>
      </c>
      <c r="B34" s="10">
        <f>248.9+0</f>
        <v>248.9</v>
      </c>
      <c r="C34" s="10">
        <f t="shared" ref="C34:G34" si="19">248.9+0</f>
        <v>248.9</v>
      </c>
      <c r="D34" s="10">
        <f t="shared" si="19"/>
        <v>248.9</v>
      </c>
      <c r="E34" s="10">
        <f t="shared" si="19"/>
        <v>248.9</v>
      </c>
      <c r="F34" s="10">
        <f t="shared" si="19"/>
        <v>248.9</v>
      </c>
      <c r="G34" s="10">
        <f t="shared" si="19"/>
        <v>248.9</v>
      </c>
      <c r="H34" s="10">
        <f>274.69+0</f>
        <v>274.69</v>
      </c>
      <c r="I34" s="10">
        <f t="shared" ref="I34:M34" si="20">274.69+0</f>
        <v>274.69</v>
      </c>
      <c r="J34" s="10">
        <f t="shared" si="20"/>
        <v>274.69</v>
      </c>
      <c r="K34" s="10">
        <f t="shared" si="20"/>
        <v>274.69</v>
      </c>
      <c r="L34" s="10">
        <f t="shared" si="20"/>
        <v>274.69</v>
      </c>
      <c r="M34" s="10">
        <f t="shared" si="20"/>
        <v>274.69</v>
      </c>
      <c r="N34" s="10">
        <f t="shared" si="17"/>
        <v>3141.5400000000004</v>
      </c>
    </row>
    <row r="35" spans="1:14" ht="22.5" customHeight="1" thickBot="1" x14ac:dyDescent="0.3">
      <c r="A35" s="3" t="s">
        <v>6</v>
      </c>
      <c r="B35" s="10">
        <f t="shared" ref="B35:H35" si="21">4041.9*3.35</f>
        <v>13540.365</v>
      </c>
      <c r="C35" s="10">
        <f t="shared" si="21"/>
        <v>13540.365</v>
      </c>
      <c r="D35" s="10">
        <f t="shared" si="21"/>
        <v>13540.365</v>
      </c>
      <c r="E35" s="10">
        <f t="shared" si="21"/>
        <v>13540.365</v>
      </c>
      <c r="F35" s="10">
        <f t="shared" si="21"/>
        <v>13540.365</v>
      </c>
      <c r="G35" s="10">
        <f t="shared" si="21"/>
        <v>13540.365</v>
      </c>
      <c r="H35" s="10">
        <f t="shared" si="21"/>
        <v>13540.365</v>
      </c>
      <c r="I35" s="10">
        <f>4041.9*4.13</f>
        <v>16693.046999999999</v>
      </c>
      <c r="J35" s="10">
        <f>4041.9*4.13</f>
        <v>16693.046999999999</v>
      </c>
      <c r="K35" s="10">
        <f t="shared" ref="K35:M35" si="22">4041.9*4.13</f>
        <v>16693.046999999999</v>
      </c>
      <c r="L35" s="10">
        <f t="shared" si="22"/>
        <v>16693.046999999999</v>
      </c>
      <c r="M35" s="10">
        <f t="shared" si="22"/>
        <v>16693.046999999999</v>
      </c>
      <c r="N35" s="10">
        <f t="shared" si="17"/>
        <v>178247.78999999998</v>
      </c>
    </row>
    <row r="36" spans="1:14" ht="21.75" customHeight="1" thickBot="1" x14ac:dyDescent="0.3">
      <c r="A36" s="3" t="s">
        <v>29</v>
      </c>
      <c r="B36" s="10">
        <v>4473.6499999999996</v>
      </c>
      <c r="C36" s="10">
        <v>4109.34</v>
      </c>
      <c r="D36" s="10">
        <v>3739</v>
      </c>
      <c r="E36" s="10">
        <v>4537.55</v>
      </c>
      <c r="F36" s="10">
        <v>4417.47</v>
      </c>
      <c r="G36" s="10">
        <v>3793.98</v>
      </c>
      <c r="H36" s="10">
        <v>4729.72</v>
      </c>
      <c r="I36" s="10">
        <v>3967.4</v>
      </c>
      <c r="J36" s="10">
        <v>5353.82</v>
      </c>
      <c r="K36" s="10">
        <v>4421.49</v>
      </c>
      <c r="L36" s="10">
        <v>4825.79</v>
      </c>
      <c r="M36" s="10">
        <v>3967.4</v>
      </c>
      <c r="N36" s="10">
        <f t="shared" si="17"/>
        <v>52336.61</v>
      </c>
    </row>
    <row r="37" spans="1:14" ht="21.75" customHeight="1" thickBot="1" x14ac:dyDescent="0.3">
      <c r="A37" s="3" t="s">
        <v>30</v>
      </c>
      <c r="B37" s="10">
        <v>668</v>
      </c>
      <c r="C37" s="10">
        <v>614</v>
      </c>
      <c r="D37" s="10">
        <v>558</v>
      </c>
      <c r="E37" s="10">
        <v>678</v>
      </c>
      <c r="F37" s="10">
        <v>660</v>
      </c>
      <c r="G37" s="10">
        <v>567</v>
      </c>
      <c r="H37" s="10">
        <v>707</v>
      </c>
      <c r="I37" s="10">
        <v>593</v>
      </c>
      <c r="J37" s="10">
        <v>800</v>
      </c>
      <c r="K37" s="10">
        <v>661</v>
      </c>
      <c r="L37" s="10">
        <v>721</v>
      </c>
      <c r="M37" s="10">
        <v>593</v>
      </c>
      <c r="N37" s="10">
        <f t="shared" si="17"/>
        <v>7820</v>
      </c>
    </row>
    <row r="38" spans="1:14" ht="21.75" customHeight="1" thickBot="1" x14ac:dyDescent="0.3">
      <c r="A38" s="3" t="s">
        <v>26</v>
      </c>
      <c r="B38" s="10">
        <v>1000</v>
      </c>
      <c r="C38" s="10">
        <v>1000</v>
      </c>
      <c r="D38" s="10">
        <v>1000</v>
      </c>
      <c r="E38" s="10">
        <v>1000</v>
      </c>
      <c r="F38" s="10">
        <v>1000</v>
      </c>
      <c r="G38" s="10">
        <v>1000</v>
      </c>
      <c r="H38" s="10">
        <v>1000</v>
      </c>
      <c r="I38" s="10">
        <v>1000</v>
      </c>
      <c r="J38" s="10">
        <v>1000</v>
      </c>
      <c r="K38" s="10">
        <v>1000</v>
      </c>
      <c r="L38" s="10">
        <v>1000</v>
      </c>
      <c r="M38" s="10">
        <v>1000</v>
      </c>
      <c r="N38" s="10">
        <f t="shared" si="17"/>
        <v>12000</v>
      </c>
    </row>
    <row r="39" spans="1:14" ht="21" customHeight="1" thickBot="1" x14ac:dyDescent="0.3">
      <c r="A39" s="3" t="s">
        <v>14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16674.330000000002</v>
      </c>
      <c r="K39" s="10">
        <v>0</v>
      </c>
      <c r="L39" s="10">
        <v>0</v>
      </c>
      <c r="M39" s="10">
        <v>0</v>
      </c>
      <c r="N39" s="10">
        <f t="shared" si="17"/>
        <v>16674.330000000002</v>
      </c>
    </row>
    <row r="40" spans="1:14" ht="21" customHeight="1" thickBot="1" x14ac:dyDescent="0.3">
      <c r="A40" s="3" t="s">
        <v>10</v>
      </c>
      <c r="B40" s="10">
        <v>0</v>
      </c>
      <c r="C40" s="10">
        <v>0</v>
      </c>
      <c r="D40" s="10">
        <f>2690.8+5573.6+3247.4</f>
        <v>11511.800000000001</v>
      </c>
      <c r="E40" s="10">
        <f>11673.2+9487.8+2018.1+7307.7+3515.4</f>
        <v>34002.199999999997</v>
      </c>
      <c r="F40" s="10">
        <f>9228+2343.6+1667.3+2690.8+2690.8+100949.44+164840.09+2690.8</f>
        <v>287100.83</v>
      </c>
      <c r="G40" s="10">
        <f>2716+68261.2</f>
        <v>70977.2</v>
      </c>
      <c r="H40" s="10">
        <f>5920.3+7277.4+63100</f>
        <v>76297.7</v>
      </c>
      <c r="I40" s="10">
        <f>2646.4+48989.81</f>
        <v>51636.21</v>
      </c>
      <c r="J40" s="10">
        <f>1761.1+3548.4+1174.8+1909.8</f>
        <v>8394.1</v>
      </c>
      <c r="K40" s="10">
        <f>1982.6+3561.8+11480.4</f>
        <v>17024.8</v>
      </c>
      <c r="L40" s="10">
        <f>20865</f>
        <v>20865</v>
      </c>
      <c r="M40" s="10">
        <f>1669.5+145</f>
        <v>1814.5</v>
      </c>
      <c r="N40" s="10">
        <f t="shared" si="17"/>
        <v>579624.34000000008</v>
      </c>
    </row>
    <row r="41" spans="1:14" ht="22.5" customHeight="1" thickBot="1" x14ac:dyDescent="0.3">
      <c r="A41" s="8" t="s">
        <v>23</v>
      </c>
      <c r="B41" s="9">
        <f t="shared" ref="B41:M41" si="23">SUM(B26:B40)</f>
        <v>77110.568929999994</v>
      </c>
      <c r="C41" s="9">
        <f t="shared" si="23"/>
        <v>75659.355219999998</v>
      </c>
      <c r="D41" s="9">
        <f t="shared" si="23"/>
        <v>91250.446120000008</v>
      </c>
      <c r="E41" s="9">
        <f t="shared" si="23"/>
        <v>112999.42218000001</v>
      </c>
      <c r="F41" s="9">
        <f t="shared" si="23"/>
        <v>363322.30708000006</v>
      </c>
      <c r="G41" s="9">
        <f t="shared" si="23"/>
        <v>152569.5845</v>
      </c>
      <c r="H41" s="9">
        <f t="shared" si="23"/>
        <v>156169.44652</v>
      </c>
      <c r="I41" s="9">
        <f t="shared" si="23"/>
        <v>135443.00020000001</v>
      </c>
      <c r="J41" s="9">
        <f t="shared" si="23"/>
        <v>106781.04720000002</v>
      </c>
      <c r="K41" s="9">
        <f t="shared" si="23"/>
        <v>107016.73738000001</v>
      </c>
      <c r="L41" s="9">
        <f t="shared" si="23"/>
        <v>108468.1113</v>
      </c>
      <c r="M41" s="9">
        <f t="shared" si="23"/>
        <v>94924.507039999997</v>
      </c>
      <c r="N41" s="9">
        <f>SUM(B41:M41)</f>
        <v>1581714.53367</v>
      </c>
    </row>
    <row r="42" spans="1:14" ht="23.25" customHeight="1" thickBot="1" x14ac:dyDescent="0.3">
      <c r="A42" s="3" t="s">
        <v>5</v>
      </c>
      <c r="B42" s="17">
        <f t="shared" ref="B42:N42" si="24">B16-B41</f>
        <v>-26.258929999996326</v>
      </c>
      <c r="C42" s="17">
        <f t="shared" si="24"/>
        <v>-26468.305219999995</v>
      </c>
      <c r="D42" s="17">
        <f t="shared" si="24"/>
        <v>-1497.3961200000049</v>
      </c>
      <c r="E42" s="17">
        <f t="shared" si="24"/>
        <v>-56952.112180000004</v>
      </c>
      <c r="F42" s="17">
        <f t="shared" si="24"/>
        <v>-6929.5170800000196</v>
      </c>
      <c r="G42" s="17">
        <f t="shared" si="24"/>
        <v>-24582.624499999976</v>
      </c>
      <c r="H42" s="17">
        <f t="shared" si="24"/>
        <v>-70336.316520000022</v>
      </c>
      <c r="I42" s="17">
        <f t="shared" si="24"/>
        <v>-15574.090200000006</v>
      </c>
      <c r="J42" s="17">
        <f t="shared" si="24"/>
        <v>2483.0727999999799</v>
      </c>
      <c r="K42" s="17">
        <f t="shared" si="24"/>
        <v>3145.0926199999813</v>
      </c>
      <c r="L42" s="17">
        <f t="shared" si="24"/>
        <v>-46438.221300000005</v>
      </c>
      <c r="M42" s="17">
        <f t="shared" si="24"/>
        <v>94518.952959999995</v>
      </c>
      <c r="N42" s="17">
        <f t="shared" si="24"/>
        <v>-148657.72367000021</v>
      </c>
    </row>
    <row r="43" spans="1:14" ht="23.25" customHeight="1" thickBot="1" x14ac:dyDescent="0.3">
      <c r="A43" s="3" t="s">
        <v>7</v>
      </c>
      <c r="B43" s="13">
        <f t="shared" ref="B43:N43" si="25">B5+B42</f>
        <v>-1049095.3489300001</v>
      </c>
      <c r="C43" s="13">
        <f t="shared" si="25"/>
        <v>-1075563.6541500001</v>
      </c>
      <c r="D43" s="13">
        <f t="shared" si="25"/>
        <v>-1077061.05027</v>
      </c>
      <c r="E43" s="13">
        <f t="shared" si="25"/>
        <v>-1134013.1624499999</v>
      </c>
      <c r="F43" s="13">
        <f t="shared" si="25"/>
        <v>-1140942.6795299998</v>
      </c>
      <c r="G43" s="13">
        <f t="shared" si="25"/>
        <v>-1165525.3040299998</v>
      </c>
      <c r="H43" s="13">
        <f t="shared" si="25"/>
        <v>-1235861.6205499999</v>
      </c>
      <c r="I43" s="13">
        <f t="shared" si="25"/>
        <v>-1251435.7107499999</v>
      </c>
      <c r="J43" s="13">
        <f t="shared" si="25"/>
        <v>-1248952.6379499999</v>
      </c>
      <c r="K43" s="13">
        <f t="shared" si="25"/>
        <v>-1245807.5453299999</v>
      </c>
      <c r="L43" s="13">
        <f t="shared" si="25"/>
        <v>-1292245.76663</v>
      </c>
      <c r="M43" s="13">
        <f t="shared" si="25"/>
        <v>-1197726.8136700001</v>
      </c>
      <c r="N43" s="13">
        <f t="shared" si="25"/>
        <v>-1197726.8136700003</v>
      </c>
    </row>
    <row r="44" spans="1:14" ht="27" customHeight="1" thickBot="1" x14ac:dyDescent="0.3">
      <c r="A44" s="14" t="s">
        <v>11</v>
      </c>
      <c r="B44" s="18">
        <f t="shared" ref="B44:N44" si="26">B6+B16-B7</f>
        <v>-980863.63</v>
      </c>
      <c r="C44" s="18">
        <f t="shared" si="26"/>
        <v>-1030898.2999999999</v>
      </c>
      <c r="D44" s="18">
        <f t="shared" si="26"/>
        <v>-1037335.3699999999</v>
      </c>
      <c r="E44" s="18">
        <f t="shared" si="26"/>
        <v>-1083261.4399999999</v>
      </c>
      <c r="F44" s="18">
        <f t="shared" si="26"/>
        <v>-827497.72999999986</v>
      </c>
      <c r="G44" s="18">
        <f t="shared" si="26"/>
        <v>-797577.71999999974</v>
      </c>
      <c r="H44" s="18">
        <f t="shared" si="26"/>
        <v>-813807.10999999975</v>
      </c>
      <c r="I44" s="18">
        <f t="shared" si="26"/>
        <v>-816208.44999999972</v>
      </c>
      <c r="J44" s="18">
        <f t="shared" si="26"/>
        <v>-828749.57999999973</v>
      </c>
      <c r="K44" s="18">
        <f t="shared" si="26"/>
        <v>-837351.37999999977</v>
      </c>
      <c r="L44" s="18">
        <f t="shared" si="26"/>
        <v>-903679.08999999973</v>
      </c>
      <c r="M44" s="18">
        <f t="shared" si="26"/>
        <v>-839679.71999999974</v>
      </c>
      <c r="N44" s="18">
        <f t="shared" si="26"/>
        <v>-839679.72000000044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2026-02-16T04:42:06Z</cp:lastPrinted>
  <dcterms:created xsi:type="dcterms:W3CDTF">2011-06-06T03:25:48Z</dcterms:created>
  <dcterms:modified xsi:type="dcterms:W3CDTF">2026-02-16T04:45:21Z</dcterms:modified>
</cp:coreProperties>
</file>