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N38" i="1" l="1"/>
  <c r="C38" i="1"/>
  <c r="D38" i="1"/>
  <c r="E38" i="1"/>
  <c r="F38" i="1"/>
  <c r="G38" i="1"/>
  <c r="H38" i="1"/>
  <c r="I38" i="1"/>
  <c r="J38" i="1"/>
  <c r="K38" i="1"/>
  <c r="L38" i="1"/>
  <c r="M38" i="1"/>
  <c r="B38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23" i="1"/>
  <c r="M37" i="1" l="1"/>
  <c r="L37" i="1" l="1"/>
  <c r="K37" i="1" l="1"/>
  <c r="M31" i="1" l="1"/>
  <c r="L31" i="1"/>
  <c r="K31" i="1"/>
  <c r="M28" i="1"/>
  <c r="L28" i="1"/>
  <c r="K28" i="1"/>
  <c r="M26" i="1" l="1"/>
  <c r="M15" i="1"/>
  <c r="M25" i="1"/>
  <c r="M7" i="1"/>
  <c r="L26" i="1" l="1"/>
  <c r="L15" i="1"/>
  <c r="L25" i="1"/>
  <c r="L7" i="1"/>
  <c r="K26" i="1" l="1"/>
  <c r="K15" i="1"/>
  <c r="K25" i="1"/>
  <c r="K7" i="1"/>
  <c r="K32" i="1" l="1"/>
  <c r="L32" i="1"/>
  <c r="M32" i="1"/>
  <c r="K27" i="1"/>
  <c r="L27" i="1"/>
  <c r="M27" i="1"/>
  <c r="K24" i="1"/>
  <c r="L24" i="1"/>
  <c r="M24" i="1"/>
  <c r="K23" i="1"/>
  <c r="L23" i="1"/>
  <c r="M23" i="1"/>
  <c r="F26" i="1" l="1"/>
  <c r="F21" i="1" l="1"/>
  <c r="E21" i="1"/>
  <c r="C21" i="1" l="1"/>
  <c r="D21" i="1"/>
  <c r="G21" i="1"/>
  <c r="B21" i="1"/>
  <c r="C13" i="1"/>
  <c r="D13" i="1"/>
  <c r="E13" i="1"/>
  <c r="F13" i="1"/>
  <c r="G13" i="1"/>
  <c r="B13" i="1"/>
  <c r="J37" i="1" l="1"/>
  <c r="I31" i="1" l="1"/>
  <c r="J31" i="1"/>
  <c r="H31" i="1"/>
  <c r="J28" i="1"/>
  <c r="I28" i="1"/>
  <c r="H28" i="1"/>
  <c r="I37" i="1" l="1"/>
  <c r="J26" i="1" l="1"/>
  <c r="J15" i="1"/>
  <c r="J25" i="1"/>
  <c r="J7" i="1"/>
  <c r="I26" i="1" l="1"/>
  <c r="I15" i="1"/>
  <c r="I25" i="1"/>
  <c r="I7" i="1"/>
  <c r="H37" i="1" l="1"/>
  <c r="H26" i="1" l="1"/>
  <c r="H15" i="1"/>
  <c r="H25" i="1"/>
  <c r="H7" i="1"/>
  <c r="H32" i="1"/>
  <c r="I32" i="1"/>
  <c r="J32" i="1"/>
  <c r="H27" i="1"/>
  <c r="I27" i="1"/>
  <c r="J27" i="1"/>
  <c r="H24" i="1"/>
  <c r="I24" i="1"/>
  <c r="J24" i="1"/>
  <c r="H23" i="1"/>
  <c r="I23" i="1"/>
  <c r="J23" i="1"/>
  <c r="F37" i="1" l="1"/>
  <c r="G37" i="1" l="1"/>
  <c r="F31" i="1" l="1"/>
  <c r="G31" i="1"/>
  <c r="E31" i="1"/>
  <c r="G28" i="1"/>
  <c r="F28" i="1"/>
  <c r="E37" i="1" l="1"/>
  <c r="G26" i="1" l="1"/>
  <c r="G15" i="1"/>
  <c r="G25" i="1"/>
  <c r="G7" i="1"/>
  <c r="F15" i="1" l="1"/>
  <c r="F25" i="1"/>
  <c r="F7" i="1"/>
  <c r="E26" i="1" l="1"/>
  <c r="E15" i="1"/>
  <c r="E25" i="1"/>
  <c r="E7" i="1"/>
  <c r="G32" i="1" l="1"/>
  <c r="E32" i="1" l="1"/>
  <c r="F32" i="1"/>
  <c r="E27" i="1"/>
  <c r="F27" i="1"/>
  <c r="G27" i="1"/>
  <c r="E24" i="1"/>
  <c r="F24" i="1"/>
  <c r="G24" i="1"/>
  <c r="E23" i="1"/>
  <c r="F23" i="1"/>
  <c r="G23" i="1"/>
  <c r="D31" i="1" l="1"/>
  <c r="C31" i="1"/>
  <c r="B31" i="1"/>
  <c r="D28" i="1"/>
  <c r="D37" i="1" l="1"/>
  <c r="C27" i="1" l="1"/>
  <c r="D27" i="1"/>
  <c r="B27" i="1"/>
  <c r="D25" i="1"/>
  <c r="C25" i="1"/>
  <c r="D24" i="1"/>
  <c r="C24" i="1"/>
  <c r="D26" i="1" l="1"/>
  <c r="D15" i="1"/>
  <c r="D7" i="1"/>
  <c r="N41" i="1"/>
  <c r="C32" i="1" l="1"/>
  <c r="D32" i="1"/>
  <c r="B32" i="1"/>
  <c r="B24" i="1"/>
  <c r="C23" i="1"/>
  <c r="D23" i="1"/>
  <c r="B23" i="1"/>
  <c r="C26" i="1" l="1"/>
  <c r="C15" i="1"/>
  <c r="C7" i="1"/>
  <c r="B26" i="1" l="1"/>
  <c r="B15" i="1"/>
  <c r="B25" i="1"/>
  <c r="B7" i="1"/>
  <c r="N19" i="1" l="1"/>
  <c r="N11" i="1"/>
  <c r="N15" i="1" l="1"/>
  <c r="N7" i="1"/>
  <c r="N16" i="1"/>
  <c r="N17" i="1"/>
  <c r="N18" i="1"/>
  <c r="N20" i="1"/>
  <c r="N21" i="1"/>
  <c r="K14" i="1"/>
  <c r="L14" i="1"/>
  <c r="M14" i="1"/>
  <c r="N8" i="1"/>
  <c r="N9" i="1"/>
  <c r="N10" i="1"/>
  <c r="N12" i="1"/>
  <c r="N13" i="1"/>
  <c r="K6" i="1"/>
  <c r="L6" i="1"/>
  <c r="M6" i="1"/>
  <c r="M39" i="1" l="1"/>
  <c r="L39" i="1"/>
  <c r="K39" i="1"/>
  <c r="I14" i="1" l="1"/>
  <c r="H14" i="1"/>
  <c r="J14" i="1"/>
  <c r="J39" i="1" l="1"/>
  <c r="I39" i="1"/>
  <c r="H6" i="1"/>
  <c r="I6" i="1"/>
  <c r="J6" i="1"/>
  <c r="H39" i="1" l="1"/>
  <c r="E14" i="1" l="1"/>
  <c r="E39" i="1" s="1"/>
  <c r="F14" i="1"/>
  <c r="F39" i="1" s="1"/>
  <c r="G14" i="1"/>
  <c r="E6" i="1"/>
  <c r="F6" i="1"/>
  <c r="G6" i="1"/>
  <c r="G39" i="1" l="1"/>
  <c r="N5" i="1"/>
  <c r="N4" i="1"/>
  <c r="B6" i="1"/>
  <c r="C6" i="1"/>
  <c r="D6" i="1"/>
  <c r="B14" i="1"/>
  <c r="C14" i="1"/>
  <c r="D14" i="1"/>
  <c r="B42" i="1" l="1"/>
  <c r="C5" i="1" s="1"/>
  <c r="C42" i="1" s="1"/>
  <c r="D5" i="1" s="1"/>
  <c r="D42" i="1" s="1"/>
  <c r="D39" i="1"/>
  <c r="C39" i="1"/>
  <c r="N14" i="1"/>
  <c r="N6" i="1"/>
  <c r="N42" i="1" l="1"/>
  <c r="E5" i="1"/>
  <c r="E42" i="1" s="1"/>
  <c r="B39" i="1" l="1"/>
  <c r="B40" i="1" s="1"/>
  <c r="N39" i="1"/>
  <c r="N40" i="1" s="1"/>
  <c r="F5" i="1"/>
  <c r="F42" i="1" s="1"/>
  <c r="C4" i="1" l="1"/>
  <c r="C40" i="1" s="1"/>
  <c r="D4" i="1" s="1"/>
  <c r="D40" i="1" l="1"/>
  <c r="G5" i="1" l="1"/>
  <c r="G42" i="1" s="1"/>
  <c r="E4" i="1"/>
  <c r="E40" i="1" s="1"/>
  <c r="F4" i="1" l="1"/>
  <c r="F40" i="1" s="1"/>
  <c r="H5" i="1"/>
  <c r="H42" i="1" s="1"/>
  <c r="G4" i="1" l="1"/>
  <c r="G40" i="1" s="1"/>
  <c r="H4" i="1" s="1"/>
  <c r="H40" i="1" s="1"/>
  <c r="I4" i="1" s="1"/>
  <c r="I40" i="1" l="1"/>
  <c r="J4" i="1" s="1"/>
  <c r="I5" i="1" l="1"/>
  <c r="I42" i="1" s="1"/>
  <c r="J40" i="1"/>
  <c r="K4" i="1" s="1"/>
  <c r="J5" i="1" l="1"/>
  <c r="J42" i="1" s="1"/>
  <c r="K40" i="1"/>
  <c r="L4" i="1" s="1"/>
  <c r="K5" i="1" l="1"/>
  <c r="K42" i="1" s="1"/>
  <c r="L40" i="1"/>
  <c r="M4" i="1" s="1"/>
  <c r="M40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<sst xmlns="http://schemas.openxmlformats.org/spreadsheetml/2006/main" count="54" uniqueCount="45">
  <si>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</si>
  <si>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</si>
  <si>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</si>
  <si>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</si>
  <si>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</si>
  <si>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</si>
  <si>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</si>
  <si>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</si>
  <si>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</si>
  <si>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</si>
  <si>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</si>
  <si>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</si>
  <si>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</si>
  <si>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</si>
  <si>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</si>
  <si>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</si>
  <si>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</si>
  <si>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</si>
  <si>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</si>
  <si>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</si>
  <si>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</si>
  <si>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</si>
  <si>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</si>
  <si>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</si>
  <si>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</si>
  <si>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</si>
  <si>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Содержание жилья и текущий ремонт,  ОПУ</t>
  </si>
  <si>
    <t>Тех.обслуживание узла учета ОДПУ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</si>
  <si>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</si>
  <si>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</si>
  <si>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</si>
  <si>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</si>
  <si>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</si>
  <si>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</t>
  </si>
  <si>
    <t>Май 2025г</t>
  </si>
  <si>
    <t>Июнь 2025г</t>
  </si>
  <si>
    <t>Июль 2025г</t>
  </si>
  <si>
    <t>Август 2025г</t>
  </si>
  <si>
    <t>Сентябрь 2025г</t>
  </si>
  <si>
    <t>Октябрь 2025г</t>
  </si>
  <si>
    <t>Ноябрь 2025г</t>
  </si>
  <si>
    <t>Декабрь 2025г</t>
  </si>
  <si>
    <t>Всего:                       за  2025г</t>
  </si>
  <si>
    <t xml:space="preserve">Корректировка задолженности </t>
  </si>
  <si>
    <t xml:space="preserve">  ОТЧЕТ по дому Васильева, 1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</si>
</sst>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Border="1"/>
    <xf numFmtId="0" fontId="4" fillId="0" borderId="3" xfId="0" applyFont="1" applyBorder="1" applyAlignment="1">
      <alignment vertical="top" wrapText="1"/>
    </xf>
    <xf numFmtId="0" fontId="0" fillId="0" borderId="0" xfId="0" applyFill="1"/>
    <xf numFmtId="0" fontId="4" fillId="0" borderId="3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4" fillId="0" borderId="4" xfId="0" applyNumberFormat="1" applyFont="1" applyFill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abSelected="1" topLeftCell="D27" zoomScale="75" workbookViewId="0">
      <selection activeCell="P36" sqref="P36"/>
    </sheetView>
  </sheetViews>
  <sheetFormatPr defaultRowHeight="13.2" x14ac:dyDescent="0.25"/>
  <cols>
    <col min="1" max="1" width="58.6640625" customWidth="1"/>
    <col min="2" max="2" width="14.5546875" customWidth="1"/>
    <col min="3" max="4" width="14.6640625" customWidth="1"/>
    <col min="5" max="5" width="14" customWidth="1"/>
    <col min="6" max="6" width="14.88671875" customWidth="1"/>
    <col min="7" max="7" width="15.33203125" customWidth="1"/>
    <col min="8" max="8" width="15.44140625" customWidth="1"/>
    <col min="9" max="9" width="15.33203125" customWidth="1"/>
    <col min="10" max="10" width="15.109375" customWidth="1"/>
    <col min="11" max="11" width="15.88671875" customWidth="1"/>
    <col min="12" max="12" width="15.33203125" customWidth="1"/>
    <col min="13" max="13" width="15.88671875" customWidth="1"/>
    <col min="14" max="14" width="17" customWidth="1"/>
    <col min="17" max="17" width="14.88671875" customWidth="1"/>
  </cols>
  <sheetData>
    <row r="1" spans="1:14" ht="18" thickBot="1" x14ac:dyDescent="0.35">
      <c r="A1" s="23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3" hidden="1" customHeight="1" thickBot="1" x14ac:dyDescent="0.3">
      <c r="A2" s="1"/>
    </row>
    <row r="3" spans="1:14" ht="38.25" customHeight="1" thickBot="1" x14ac:dyDescent="0.3">
      <c r="A3" s="6" t="s">
        <v>0</v>
      </c>
      <c r="B3" s="7" t="s">
        <v>30</v>
      </c>
      <c r="C3" s="7" t="s">
        <v>31</v>
      </c>
      <c r="D3" s="7" t="s">
        <v>32</v>
      </c>
      <c r="E3" s="7" t="s">
        <v>33</v>
      </c>
      <c r="F3" s="7" t="s">
        <v>34</v>
      </c>
      <c r="G3" s="7" t="s">
        <v>35</v>
      </c>
      <c r="H3" s="7" t="s">
        <v>36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41</v>
      </c>
      <c r="N3" s="7" t="s">
        <v>42</v>
      </c>
    </row>
    <row r="4" spans="1:14" ht="23.25" customHeight="1" thickBot="1" x14ac:dyDescent="0.3">
      <c r="A4" s="8" t="s">
        <v>16</v>
      </c>
      <c r="B4" s="9">
        <v>-548971.65</v>
      </c>
      <c r="C4" s="9">
        <f t="shared" ref="C4" si="0">B40</f>
        <v>-541062.78953000007</v>
      </c>
      <c r="D4" s="9">
        <f t="shared" ref="D4" si="1">C40</f>
        <v>-533737.40803000005</v>
      </c>
      <c r="E4" s="9">
        <f t="shared" ref="E4" si="2">D40</f>
        <v>-538908.07943000004</v>
      </c>
      <c r="F4" s="9">
        <f t="shared" ref="F4" si="3">E40</f>
        <v>-530877.20475000003</v>
      </c>
      <c r="G4" s="9">
        <f t="shared" ref="G4" si="4">F40</f>
        <v>-526914.39468999999</v>
      </c>
      <c r="H4" s="9">
        <f t="shared" ref="H4" si="5">G40</f>
        <v>-516590.66631</v>
      </c>
      <c r="I4" s="9">
        <f t="shared" ref="I4" si="6">H40</f>
        <v>-495491.46766999998</v>
      </c>
      <c r="J4" s="9">
        <f t="shared" ref="J4" si="7">I40</f>
        <v>-438346.97616999998</v>
      </c>
      <c r="K4" s="9">
        <f t="shared" ref="K4" si="8">J40</f>
        <v>-499216.12076999998</v>
      </c>
      <c r="L4" s="9">
        <f t="shared" ref="L4" si="9">K40</f>
        <v>-660028.22870999994</v>
      </c>
      <c r="M4" s="9">
        <f t="shared" ref="M4" si="10">L40</f>
        <v>-654821.31649</v>
      </c>
      <c r="N4" s="9">
        <f>B4</f>
        <v>-548971.65</v>
      </c>
    </row>
    <row r="5" spans="1:14" ht="21" customHeight="1" thickBot="1" x14ac:dyDescent="0.3">
      <c r="A5" s="8" t="s">
        <v>13</v>
      </c>
      <c r="B5" s="9">
        <v>-397005.34</v>
      </c>
      <c r="C5" s="9">
        <f t="shared" ref="C5:M5" si="11">B42</f>
        <v>-409500.25000000012</v>
      </c>
      <c r="D5" s="9">
        <f t="shared" si="11"/>
        <v>-421913.98000000016</v>
      </c>
      <c r="E5" s="9">
        <f t="shared" si="11"/>
        <v>-402277.29000000015</v>
      </c>
      <c r="F5" s="9">
        <f t="shared" si="11"/>
        <v>-402918.51000000018</v>
      </c>
      <c r="G5" s="9">
        <f t="shared" si="11"/>
        <v>-408808.8400000002</v>
      </c>
      <c r="H5" s="9">
        <f t="shared" si="11"/>
        <v>-431721.81000000017</v>
      </c>
      <c r="I5" s="9">
        <f t="shared" si="11"/>
        <v>-436492.49000000017</v>
      </c>
      <c r="J5" s="9">
        <f t="shared" si="11"/>
        <v>-386703.18000000017</v>
      </c>
      <c r="K5" s="9">
        <f t="shared" si="11"/>
        <v>-397521.8400000002</v>
      </c>
      <c r="L5" s="9">
        <f t="shared" si="11"/>
        <v>-389777.6500000002</v>
      </c>
      <c r="M5" s="9">
        <f t="shared" si="11"/>
        <v>-391380.2200000002</v>
      </c>
      <c r="N5" s="9">
        <f>B5</f>
        <v>-397005.34</v>
      </c>
    </row>
    <row r="6" spans="1:14" ht="20.25" customHeight="1" thickBot="1" x14ac:dyDescent="0.3">
      <c r="A6" s="10" t="s">
        <v>12</v>
      </c>
      <c r="B6" s="11">
        <f t="shared" ref="B6:M6" si="12">SUM(B7:B13)</f>
        <v>91637.110000000015</v>
      </c>
      <c r="C6" s="11">
        <f t="shared" si="12"/>
        <v>90183.4</v>
      </c>
      <c r="D6" s="11">
        <f t="shared" si="12"/>
        <v>90183.39</v>
      </c>
      <c r="E6" s="11">
        <f t="shared" si="12"/>
        <v>92311.819999999992</v>
      </c>
      <c r="F6" s="11">
        <f t="shared" si="12"/>
        <v>90183.39</v>
      </c>
      <c r="G6" s="11">
        <f t="shared" si="12"/>
        <v>110707.87</v>
      </c>
      <c r="H6" s="11">
        <f t="shared" si="12"/>
        <v>108908.96</v>
      </c>
      <c r="I6" s="11">
        <f t="shared" si="12"/>
        <v>112700.7</v>
      </c>
      <c r="J6" s="11">
        <f t="shared" si="12"/>
        <v>115531.15</v>
      </c>
      <c r="K6" s="11">
        <f t="shared" si="12"/>
        <v>111586.29</v>
      </c>
      <c r="L6" s="11">
        <f t="shared" si="12"/>
        <v>112870.98</v>
      </c>
      <c r="M6" s="11">
        <f t="shared" si="12"/>
        <v>121680.89</v>
      </c>
      <c r="N6" s="11">
        <f>SUM(B6:M6)</f>
        <v>1248485.95</v>
      </c>
    </row>
    <row r="7" spans="1:14" ht="21" customHeight="1" thickBot="1" x14ac:dyDescent="0.3">
      <c r="A7" s="3" t="s">
        <v>26</v>
      </c>
      <c r="B7" s="12">
        <f>79564.11+1461.52</f>
        <v>81025.63</v>
      </c>
      <c r="C7" s="12">
        <f>80307.36+1475.18</f>
        <v>81782.539999999994</v>
      </c>
      <c r="D7" s="12">
        <f>80307.36+1475.18</f>
        <v>81782.539999999994</v>
      </c>
      <c r="E7" s="12">
        <f>80307.36+1475.18</f>
        <v>81782.539999999994</v>
      </c>
      <c r="F7" s="12">
        <f>80307.36+1475.18</f>
        <v>81782.539999999994</v>
      </c>
      <c r="G7" s="12">
        <f t="shared" ref="G7:L7" si="13">98945+1475.18</f>
        <v>100420.18</v>
      </c>
      <c r="H7" s="12">
        <f t="shared" si="13"/>
        <v>100420.18</v>
      </c>
      <c r="I7" s="12">
        <f t="shared" si="13"/>
        <v>100420.18</v>
      </c>
      <c r="J7" s="12">
        <f t="shared" si="13"/>
        <v>100420.18</v>
      </c>
      <c r="K7" s="12">
        <f t="shared" si="13"/>
        <v>100420.18</v>
      </c>
      <c r="L7" s="12">
        <f t="shared" si="13"/>
        <v>100420.18</v>
      </c>
      <c r="M7" s="12">
        <f>98945+1475.18</f>
        <v>100420.18</v>
      </c>
      <c r="N7" s="12">
        <f>SUM(B7:M7)</f>
        <v>1111097.0499999996</v>
      </c>
    </row>
    <row r="8" spans="1:14" ht="22.5" customHeight="1" thickBot="1" x14ac:dyDescent="0.3">
      <c r="A8" s="3" t="s">
        <v>17</v>
      </c>
      <c r="B8" s="12">
        <v>2210.5500000000002</v>
      </c>
      <c r="C8" s="12">
        <v>0</v>
      </c>
      <c r="D8" s="12">
        <v>0</v>
      </c>
      <c r="E8" s="12">
        <v>2075.84</v>
      </c>
      <c r="F8" s="12">
        <v>0</v>
      </c>
      <c r="G8" s="12">
        <v>1886.84</v>
      </c>
      <c r="H8" s="12">
        <v>0</v>
      </c>
      <c r="I8" s="12">
        <v>3761.08</v>
      </c>
      <c r="J8" s="12">
        <v>6591.53</v>
      </c>
      <c r="K8" s="12">
        <v>2946.67</v>
      </c>
      <c r="L8" s="12">
        <v>4010.67</v>
      </c>
      <c r="M8" s="12">
        <v>11324.69</v>
      </c>
      <c r="N8" s="12">
        <f t="shared" ref="N8:N13" si="14">SUM(B8:M8)</f>
        <v>34807.870000000003</v>
      </c>
    </row>
    <row r="9" spans="1:14" ht="21.75" customHeight="1" thickBot="1" x14ac:dyDescent="0.3">
      <c r="A9" s="3" t="s">
        <v>18</v>
      </c>
      <c r="B9" s="12">
        <v>293.13</v>
      </c>
      <c r="C9" s="12">
        <v>293.06</v>
      </c>
      <c r="D9" s="12">
        <v>293.06</v>
      </c>
      <c r="E9" s="12">
        <v>293.06</v>
      </c>
      <c r="F9" s="12">
        <v>293.06</v>
      </c>
      <c r="G9" s="12">
        <v>293.06</v>
      </c>
      <c r="H9" s="12">
        <v>380.99</v>
      </c>
      <c r="I9" s="12">
        <v>380.99</v>
      </c>
      <c r="J9" s="12">
        <v>380.99</v>
      </c>
      <c r="K9" s="12">
        <v>380.99</v>
      </c>
      <c r="L9" s="12">
        <v>380.99</v>
      </c>
      <c r="M9" s="12">
        <v>380.99</v>
      </c>
      <c r="N9" s="12">
        <f t="shared" si="14"/>
        <v>4044.369999999999</v>
      </c>
    </row>
    <row r="10" spans="1:14" ht="21.75" customHeight="1" thickBot="1" x14ac:dyDescent="0.3">
      <c r="A10" s="3" t="s">
        <v>19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f t="shared" si="14"/>
        <v>0</v>
      </c>
    </row>
    <row r="11" spans="1:14" ht="21.75" customHeight="1" thickBot="1" x14ac:dyDescent="0.3">
      <c r="A11" s="3" t="s">
        <v>25</v>
      </c>
      <c r="B11" s="12">
        <v>295.64</v>
      </c>
      <c r="C11" s="12">
        <v>295.64</v>
      </c>
      <c r="D11" s="12">
        <v>295.63</v>
      </c>
      <c r="E11" s="12">
        <v>348.22</v>
      </c>
      <c r="F11" s="12">
        <v>295.63</v>
      </c>
      <c r="G11" s="12">
        <v>295.63</v>
      </c>
      <c r="H11" s="12">
        <v>295.63</v>
      </c>
      <c r="I11" s="12">
        <v>326.29000000000002</v>
      </c>
      <c r="J11" s="12">
        <v>326.29000000000002</v>
      </c>
      <c r="K11" s="12">
        <v>326.29000000000002</v>
      </c>
      <c r="L11" s="12">
        <v>546.98</v>
      </c>
      <c r="M11" s="12">
        <v>2042.87</v>
      </c>
      <c r="N11" s="12">
        <f t="shared" ref="N11" si="15">SUM(B11:M11)</f>
        <v>5690.74</v>
      </c>
    </row>
    <row r="12" spans="1:14" ht="21.75" customHeight="1" thickBot="1" x14ac:dyDescent="0.3">
      <c r="A12" s="3" t="s">
        <v>28</v>
      </c>
      <c r="B12" s="12">
        <v>6842.16</v>
      </c>
      <c r="C12" s="12">
        <v>6842.16</v>
      </c>
      <c r="D12" s="12">
        <v>6842.16</v>
      </c>
      <c r="E12" s="12">
        <v>6842.16</v>
      </c>
      <c r="F12" s="12">
        <v>6842.16</v>
      </c>
      <c r="G12" s="12">
        <v>6842.16</v>
      </c>
      <c r="H12" s="12">
        <v>6842.16</v>
      </c>
      <c r="I12" s="12">
        <v>6842.16</v>
      </c>
      <c r="J12" s="12">
        <v>6842.16</v>
      </c>
      <c r="K12" s="12">
        <v>6842.16</v>
      </c>
      <c r="L12" s="12">
        <v>6842.16</v>
      </c>
      <c r="M12" s="12">
        <v>6842.16</v>
      </c>
      <c r="N12" s="12">
        <f t="shared" si="14"/>
        <v>82105.920000000027</v>
      </c>
    </row>
    <row r="13" spans="1:14" ht="24.75" customHeight="1" thickBot="1" x14ac:dyDescent="0.3">
      <c r="A13" s="3" t="s">
        <v>15</v>
      </c>
      <c r="B13" s="12">
        <f>1270-300</f>
        <v>970</v>
      </c>
      <c r="C13" s="12">
        <f t="shared" ref="C13:G13" si="16">1270-300</f>
        <v>970</v>
      </c>
      <c r="D13" s="12">
        <f t="shared" si="16"/>
        <v>970</v>
      </c>
      <c r="E13" s="12">
        <f t="shared" si="16"/>
        <v>970</v>
      </c>
      <c r="F13" s="12">
        <f t="shared" si="16"/>
        <v>970</v>
      </c>
      <c r="G13" s="12">
        <f t="shared" si="16"/>
        <v>970</v>
      </c>
      <c r="H13" s="12">
        <v>970</v>
      </c>
      <c r="I13" s="12">
        <v>970</v>
      </c>
      <c r="J13" s="12">
        <v>970</v>
      </c>
      <c r="K13" s="12">
        <v>670</v>
      </c>
      <c r="L13" s="12">
        <v>670</v>
      </c>
      <c r="M13" s="12">
        <v>670</v>
      </c>
      <c r="N13" s="12">
        <f t="shared" si="14"/>
        <v>10740</v>
      </c>
    </row>
    <row r="14" spans="1:14" ht="20.25" customHeight="1" thickBot="1" x14ac:dyDescent="0.3">
      <c r="A14" s="13" t="s">
        <v>8</v>
      </c>
      <c r="B14" s="14">
        <f t="shared" ref="B14:M14" si="17">SUM(B15:B21)</f>
        <v>79142.199999999983</v>
      </c>
      <c r="C14" s="14">
        <f t="shared" si="17"/>
        <v>77769.67</v>
      </c>
      <c r="D14" s="14">
        <f t="shared" si="17"/>
        <v>86326.10000000002</v>
      </c>
      <c r="E14" s="14">
        <f t="shared" si="17"/>
        <v>91670.6</v>
      </c>
      <c r="F14" s="14">
        <f t="shared" si="17"/>
        <v>84293.06</v>
      </c>
      <c r="G14" s="14">
        <f t="shared" si="17"/>
        <v>87794.9</v>
      </c>
      <c r="H14" s="14">
        <f t="shared" si="17"/>
        <v>104138.28</v>
      </c>
      <c r="I14" s="14">
        <f t="shared" si="17"/>
        <v>162490.01</v>
      </c>
      <c r="J14" s="14">
        <f t="shared" si="17"/>
        <v>104712.48999999999</v>
      </c>
      <c r="K14" s="14">
        <f t="shared" si="17"/>
        <v>119330.47999999998</v>
      </c>
      <c r="L14" s="14">
        <f t="shared" si="17"/>
        <v>111268.40999999999</v>
      </c>
      <c r="M14" s="14">
        <f t="shared" si="17"/>
        <v>103162.26000000001</v>
      </c>
      <c r="N14" s="14">
        <f>SUM(B14:M14)</f>
        <v>1212098.46</v>
      </c>
    </row>
    <row r="15" spans="1:14" ht="20.25" customHeight="1" thickBot="1" x14ac:dyDescent="0.3">
      <c r="A15" s="3" t="s">
        <v>26</v>
      </c>
      <c r="B15" s="12">
        <f>68551.18+1259.52</f>
        <v>69810.7</v>
      </c>
      <c r="C15" s="12">
        <f>68016.68+1440.3</f>
        <v>69456.98</v>
      </c>
      <c r="D15" s="12">
        <f>78099.65+1400.38</f>
        <v>79500.03</v>
      </c>
      <c r="E15" s="12">
        <f>80940.98+1472.84</f>
        <v>82413.819999999992</v>
      </c>
      <c r="F15" s="12">
        <f>75415.06+1345.57</f>
        <v>76760.63</v>
      </c>
      <c r="G15" s="12">
        <f>78658.86+1426.83</f>
        <v>80085.69</v>
      </c>
      <c r="H15" s="12">
        <f>94756.49+1431.86</f>
        <v>96188.35</v>
      </c>
      <c r="I15" s="12">
        <f>65.62+146607.87+1588.88</f>
        <v>148262.37</v>
      </c>
      <c r="J15" s="12">
        <f>93526.62+1356.35</f>
        <v>94882.97</v>
      </c>
      <c r="K15" s="12">
        <f>108547.76+1624.56</f>
        <v>110172.31999999999</v>
      </c>
      <c r="L15" s="12">
        <f>101265.37+1523</f>
        <v>102788.37</v>
      </c>
      <c r="M15" s="12">
        <f>92956.06+1385.83</f>
        <v>94341.89</v>
      </c>
      <c r="N15" s="12">
        <f>SUM(B15:M15)</f>
        <v>1104664.1199999999</v>
      </c>
    </row>
    <row r="16" spans="1:14" ht="23.25" customHeight="1" thickBot="1" x14ac:dyDescent="0.3">
      <c r="A16" s="3" t="s">
        <v>17</v>
      </c>
      <c r="B16" s="12">
        <v>227.18</v>
      </c>
      <c r="C16" s="12">
        <v>1331.79</v>
      </c>
      <c r="D16" s="12">
        <v>66.05</v>
      </c>
      <c r="E16" s="12">
        <v>2.73</v>
      </c>
      <c r="F16" s="12">
        <v>4.87</v>
      </c>
      <c r="G16" s="12">
        <v>3.58</v>
      </c>
      <c r="H16" s="12">
        <v>4.4000000000000004</v>
      </c>
      <c r="I16" s="12">
        <v>1742.67</v>
      </c>
      <c r="J16" s="12">
        <v>51.85</v>
      </c>
      <c r="K16" s="12">
        <v>92.5</v>
      </c>
      <c r="L16" s="12">
        <v>93.73</v>
      </c>
      <c r="M16" s="12">
        <v>160.07</v>
      </c>
      <c r="N16" s="12">
        <f t="shared" ref="N16:N21" si="18">SUM(B16:M16)</f>
        <v>3781.42</v>
      </c>
    </row>
    <row r="17" spans="1:17" ht="21.75" customHeight="1" thickBot="1" x14ac:dyDescent="0.3">
      <c r="A17" s="3" t="s">
        <v>18</v>
      </c>
      <c r="B17" s="12">
        <v>252.58</v>
      </c>
      <c r="C17" s="12">
        <v>250.3</v>
      </c>
      <c r="D17" s="12">
        <v>281.32</v>
      </c>
      <c r="E17" s="12">
        <v>299.07</v>
      </c>
      <c r="F17" s="12">
        <v>275.05</v>
      </c>
      <c r="G17" s="12">
        <v>286.98</v>
      </c>
      <c r="H17" s="12">
        <v>283.77</v>
      </c>
      <c r="I17" s="12">
        <v>616.63</v>
      </c>
      <c r="J17" s="12">
        <v>359.29</v>
      </c>
      <c r="K17" s="12">
        <v>413.95</v>
      </c>
      <c r="L17" s="12">
        <v>389.53</v>
      </c>
      <c r="M17" s="12">
        <v>357.94</v>
      </c>
      <c r="N17" s="12">
        <f t="shared" si="18"/>
        <v>4066.4099999999994</v>
      </c>
    </row>
    <row r="18" spans="1:17" ht="22.5" customHeight="1" thickBot="1" x14ac:dyDescent="0.3">
      <c r="A18" s="3" t="s">
        <v>19</v>
      </c>
      <c r="B18" s="12">
        <v>0</v>
      </c>
      <c r="C18" s="12">
        <v>2.57</v>
      </c>
      <c r="D18" s="12">
        <v>2.4900000000000002</v>
      </c>
      <c r="E18" s="12">
        <v>2.38</v>
      </c>
      <c r="F18" s="12">
        <v>2.95</v>
      </c>
      <c r="G18" s="12">
        <v>2.17</v>
      </c>
      <c r="H18" s="12">
        <v>2.0499999999999998</v>
      </c>
      <c r="I18" s="12">
        <v>412.4</v>
      </c>
      <c r="J18" s="12">
        <v>2.78</v>
      </c>
      <c r="K18" s="12">
        <v>2.62</v>
      </c>
      <c r="L18" s="12">
        <v>4.8600000000000003</v>
      </c>
      <c r="M18" s="12">
        <v>0</v>
      </c>
      <c r="N18" s="12">
        <f t="shared" si="18"/>
        <v>437.27</v>
      </c>
    </row>
    <row r="19" spans="1:17" ht="22.5" customHeight="1" thickBot="1" x14ac:dyDescent="0.3">
      <c r="A19" s="3" t="s">
        <v>25</v>
      </c>
      <c r="B19" s="12">
        <v>2284.9499999999998</v>
      </c>
      <c r="C19" s="12">
        <v>252.62</v>
      </c>
      <c r="D19" s="12">
        <v>-701.95</v>
      </c>
      <c r="E19" s="12">
        <v>352.46</v>
      </c>
      <c r="F19" s="12">
        <v>333.72</v>
      </c>
      <c r="G19" s="12">
        <v>331.29</v>
      </c>
      <c r="H19" s="12">
        <v>289.39</v>
      </c>
      <c r="I19" s="12">
        <v>659.4</v>
      </c>
      <c r="J19" s="12">
        <v>312.04000000000002</v>
      </c>
      <c r="K19" s="12">
        <v>417.45</v>
      </c>
      <c r="L19" s="12">
        <v>333.53</v>
      </c>
      <c r="M19" s="12">
        <v>511.08</v>
      </c>
      <c r="N19" s="12">
        <f t="shared" ref="N19" si="19">SUM(B19:M19)</f>
        <v>5375.9799999999987</v>
      </c>
    </row>
    <row r="20" spans="1:17" ht="22.5" customHeight="1" thickBot="1" x14ac:dyDescent="0.3">
      <c r="A20" s="3" t="s">
        <v>28</v>
      </c>
      <c r="B20" s="12">
        <v>5966.79</v>
      </c>
      <c r="C20" s="12">
        <v>5875.41</v>
      </c>
      <c r="D20" s="12">
        <v>6578.16</v>
      </c>
      <c r="E20" s="12">
        <v>6880.14</v>
      </c>
      <c r="F20" s="12">
        <v>6315.84</v>
      </c>
      <c r="G20" s="12">
        <v>6485.19</v>
      </c>
      <c r="H20" s="12">
        <v>6770.32</v>
      </c>
      <c r="I20" s="12">
        <v>10196.540000000001</v>
      </c>
      <c r="J20" s="12">
        <v>6403.56</v>
      </c>
      <c r="K20" s="12">
        <v>7631.64</v>
      </c>
      <c r="L20" s="12">
        <v>7058.39</v>
      </c>
      <c r="M20" s="12">
        <v>6491.28</v>
      </c>
      <c r="N20" s="12">
        <f t="shared" si="18"/>
        <v>82653.259999999995</v>
      </c>
    </row>
    <row r="21" spans="1:17" ht="23.25" customHeight="1" thickBot="1" x14ac:dyDescent="0.3">
      <c r="A21" s="3" t="s">
        <v>15</v>
      </c>
      <c r="B21" s="15">
        <f>900-300</f>
        <v>600</v>
      </c>
      <c r="C21" s="15">
        <f t="shared" ref="C21:G21" si="20">900-300</f>
        <v>600</v>
      </c>
      <c r="D21" s="15">
        <f t="shared" si="20"/>
        <v>600</v>
      </c>
      <c r="E21" s="15">
        <f>2020-300</f>
        <v>1720</v>
      </c>
      <c r="F21" s="15">
        <f>900-300</f>
        <v>600</v>
      </c>
      <c r="G21" s="15">
        <f t="shared" si="20"/>
        <v>600</v>
      </c>
      <c r="H21" s="15">
        <v>600</v>
      </c>
      <c r="I21" s="15">
        <v>600</v>
      </c>
      <c r="J21" s="15">
        <v>2700</v>
      </c>
      <c r="K21" s="12">
        <v>600</v>
      </c>
      <c r="L21" s="12">
        <v>600</v>
      </c>
      <c r="M21" s="12">
        <v>1300</v>
      </c>
      <c r="N21" s="12">
        <f t="shared" si="18"/>
        <v>11120</v>
      </c>
      <c r="O21" s="2"/>
    </row>
    <row r="22" spans="1:17" ht="21.75" customHeight="1" thickBot="1" x14ac:dyDescent="0.3">
      <c r="A22" s="16" t="s">
        <v>24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</row>
    <row r="23" spans="1:17" ht="19.5" customHeight="1" thickBot="1" x14ac:dyDescent="0.3">
      <c r="A23" s="3" t="s">
        <v>1</v>
      </c>
      <c r="B23" s="12">
        <f>3598*0.6</f>
        <v>2158.7999999999997</v>
      </c>
      <c r="C23" s="12">
        <f t="shared" ref="C23:M23" si="21">3598*0.6</f>
        <v>2158.7999999999997</v>
      </c>
      <c r="D23" s="12">
        <f t="shared" si="21"/>
        <v>2158.7999999999997</v>
      </c>
      <c r="E23" s="12">
        <f t="shared" si="21"/>
        <v>2158.7999999999997</v>
      </c>
      <c r="F23" s="12">
        <f t="shared" si="21"/>
        <v>2158.7999999999997</v>
      </c>
      <c r="G23" s="12">
        <f t="shared" si="21"/>
        <v>2158.7999999999997</v>
      </c>
      <c r="H23" s="12">
        <f t="shared" si="21"/>
        <v>2158.7999999999997</v>
      </c>
      <c r="I23" s="12">
        <f t="shared" si="21"/>
        <v>2158.7999999999997</v>
      </c>
      <c r="J23" s="12">
        <f t="shared" si="21"/>
        <v>2158.7999999999997</v>
      </c>
      <c r="K23" s="12">
        <f t="shared" si="21"/>
        <v>2158.7999999999997</v>
      </c>
      <c r="L23" s="12">
        <f t="shared" si="21"/>
        <v>2158.7999999999997</v>
      </c>
      <c r="M23" s="12">
        <f t="shared" si="21"/>
        <v>2158.7999999999997</v>
      </c>
      <c r="N23" s="12">
        <f>SUM(B23:M23)</f>
        <v>25905.599999999995</v>
      </c>
    </row>
    <row r="24" spans="1:17" ht="22.5" customHeight="1" thickBot="1" x14ac:dyDescent="0.3">
      <c r="A24" s="3" t="s">
        <v>2</v>
      </c>
      <c r="B24" s="12">
        <f>3598*0.17</f>
        <v>611.66000000000008</v>
      </c>
      <c r="C24" s="12">
        <f>3598*0.2</f>
        <v>719.6</v>
      </c>
      <c r="D24" s="12">
        <f>3598*0.2</f>
        <v>719.6</v>
      </c>
      <c r="E24" s="12">
        <f t="shared" ref="E24:M24" si="22">3598*0.2</f>
        <v>719.6</v>
      </c>
      <c r="F24" s="12">
        <f t="shared" si="22"/>
        <v>719.6</v>
      </c>
      <c r="G24" s="12">
        <f t="shared" si="22"/>
        <v>719.6</v>
      </c>
      <c r="H24" s="12">
        <f t="shared" si="22"/>
        <v>719.6</v>
      </c>
      <c r="I24" s="12">
        <f t="shared" si="22"/>
        <v>719.6</v>
      </c>
      <c r="J24" s="12">
        <f t="shared" si="22"/>
        <v>719.6</v>
      </c>
      <c r="K24" s="12">
        <f t="shared" si="22"/>
        <v>719.6</v>
      </c>
      <c r="L24" s="12">
        <f t="shared" si="22"/>
        <v>719.6</v>
      </c>
      <c r="M24" s="12">
        <f t="shared" si="22"/>
        <v>719.6</v>
      </c>
      <c r="N24" s="12">
        <f t="shared" ref="N24:N38" si="23">SUM(B24:M24)</f>
        <v>8527.260000000002</v>
      </c>
    </row>
    <row r="25" spans="1:17" ht="21" customHeight="1" thickBot="1" x14ac:dyDescent="0.3">
      <c r="A25" s="3" t="s">
        <v>3</v>
      </c>
      <c r="B25" s="12">
        <f>90667.11*2.3%</f>
        <v>2085.3435300000001</v>
      </c>
      <c r="C25" s="12">
        <f>89213.4*2.6%</f>
        <v>2319.5484000000001</v>
      </c>
      <c r="D25" s="12">
        <f>89213.4*2.6%</f>
        <v>2319.5484000000001</v>
      </c>
      <c r="E25" s="12">
        <f>91341.82*2.6%</f>
        <v>2374.8873200000003</v>
      </c>
      <c r="F25" s="12">
        <f>89213.39*2.6%</f>
        <v>2319.5481400000003</v>
      </c>
      <c r="G25" s="12">
        <f>109737.87*2.6%</f>
        <v>2853.18462</v>
      </c>
      <c r="H25" s="12">
        <f>107938.96*2.6%</f>
        <v>2806.4129600000006</v>
      </c>
      <c r="I25" s="12">
        <f>111730.7*2.6%</f>
        <v>2904.9982</v>
      </c>
      <c r="J25" s="12">
        <f>114561.15*2.6%</f>
        <v>2978.5898999999999</v>
      </c>
      <c r="K25" s="12">
        <f>110916.29*2.6%</f>
        <v>2883.8235399999999</v>
      </c>
      <c r="L25" s="12">
        <f>112200.98*2.6%</f>
        <v>2917.2254800000001</v>
      </c>
      <c r="M25" s="12">
        <f>121010.89*2.6%</f>
        <v>3146.2831400000005</v>
      </c>
      <c r="N25" s="12">
        <f t="shared" si="23"/>
        <v>31909.393630000002</v>
      </c>
    </row>
    <row r="26" spans="1:17" ht="23.25" customHeight="1" thickBot="1" x14ac:dyDescent="0.3">
      <c r="A26" s="3" t="s">
        <v>4</v>
      </c>
      <c r="B26" s="12">
        <f>78542.2*3%</f>
        <v>2356.2659999999996</v>
      </c>
      <c r="C26" s="12">
        <f>77169.67*3%</f>
        <v>2315.0900999999999</v>
      </c>
      <c r="D26" s="12">
        <f>85726.1*3%</f>
        <v>2571.7829999999999</v>
      </c>
      <c r="E26" s="12">
        <f>89950.6*3%</f>
        <v>2698.518</v>
      </c>
      <c r="F26" s="12">
        <f>83693.06*3%</f>
        <v>2510.7918</v>
      </c>
      <c r="G26" s="12">
        <f>87194.9*3%</f>
        <v>2615.8469999999998</v>
      </c>
      <c r="H26" s="12">
        <f>103538.28*3%</f>
        <v>3106.1484</v>
      </c>
      <c r="I26" s="12">
        <f>161890.01*3%</f>
        <v>4856.7003000000004</v>
      </c>
      <c r="J26" s="12">
        <f>102012.49*3%</f>
        <v>3060.3746999999998</v>
      </c>
      <c r="K26" s="12">
        <f>118730.48*3%</f>
        <v>3561.9143999999997</v>
      </c>
      <c r="L26" s="12">
        <f>110668.41*3%</f>
        <v>3320.0522999999998</v>
      </c>
      <c r="M26" s="12">
        <f>101862.26*3%</f>
        <v>3055.8677999999995</v>
      </c>
      <c r="N26" s="12">
        <f t="shared" si="23"/>
        <v>36029.353800000004</v>
      </c>
    </row>
    <row r="27" spans="1:17" s="4" customFormat="1" ht="23.25" customHeight="1" thickBot="1" x14ac:dyDescent="0.3">
      <c r="A27" s="5" t="s">
        <v>9</v>
      </c>
      <c r="B27" s="19">
        <f>3598*12</f>
        <v>43176</v>
      </c>
      <c r="C27" s="19">
        <f t="shared" ref="C27:M27" si="24">3598*12</f>
        <v>43176</v>
      </c>
      <c r="D27" s="19">
        <f t="shared" si="24"/>
        <v>43176</v>
      </c>
      <c r="E27" s="19">
        <f t="shared" si="24"/>
        <v>43176</v>
      </c>
      <c r="F27" s="19">
        <f t="shared" si="24"/>
        <v>43176</v>
      </c>
      <c r="G27" s="19">
        <f t="shared" si="24"/>
        <v>43176</v>
      </c>
      <c r="H27" s="19">
        <f t="shared" si="24"/>
        <v>43176</v>
      </c>
      <c r="I27" s="19">
        <f t="shared" si="24"/>
        <v>43176</v>
      </c>
      <c r="J27" s="19">
        <f t="shared" si="24"/>
        <v>43176</v>
      </c>
      <c r="K27" s="19">
        <f t="shared" si="24"/>
        <v>43176</v>
      </c>
      <c r="L27" s="19">
        <f t="shared" si="24"/>
        <v>43176</v>
      </c>
      <c r="M27" s="19">
        <f t="shared" si="24"/>
        <v>43176</v>
      </c>
      <c r="N27" s="12">
        <f t="shared" si="23"/>
        <v>518112</v>
      </c>
    </row>
    <row r="28" spans="1:17" ht="26.25" customHeight="1" thickBot="1" x14ac:dyDescent="0.3">
      <c r="A28" s="3" t="s">
        <v>20</v>
      </c>
      <c r="B28" s="12">
        <v>0</v>
      </c>
      <c r="C28" s="12">
        <v>0</v>
      </c>
      <c r="D28" s="12">
        <f>1857.61+218.52</f>
        <v>2076.13</v>
      </c>
      <c r="E28" s="12">
        <v>0</v>
      </c>
      <c r="F28" s="12">
        <f>1688.34+198.57</f>
        <v>1886.9099999999999</v>
      </c>
      <c r="G28" s="12">
        <f>0+0</f>
        <v>0</v>
      </c>
      <c r="H28" s="12">
        <f>3391.87+369.16</f>
        <v>3761.0299999999997</v>
      </c>
      <c r="I28" s="12">
        <f>5944.59+646.91</f>
        <v>6591.5</v>
      </c>
      <c r="J28" s="12">
        <f>2657.43+289.2</f>
        <v>2946.6299999999997</v>
      </c>
      <c r="K28" s="12">
        <f>3617.04+393.64</f>
        <v>4010.68</v>
      </c>
      <c r="L28" s="12">
        <f>10213.22+1111.47</f>
        <v>11324.689999999999</v>
      </c>
      <c r="M28" s="12">
        <f>12271.27+1335.41</f>
        <v>13606.68</v>
      </c>
      <c r="N28" s="12">
        <f t="shared" si="23"/>
        <v>46204.25</v>
      </c>
      <c r="Q28" s="4"/>
    </row>
    <row r="29" spans="1:17" ht="26.25" customHeight="1" thickBot="1" x14ac:dyDescent="0.3">
      <c r="A29" s="3" t="s">
        <v>21</v>
      </c>
      <c r="B29" s="12">
        <v>439.53</v>
      </c>
      <c r="C29" s="12">
        <v>439.53</v>
      </c>
      <c r="D29" s="12">
        <v>439.53</v>
      </c>
      <c r="E29" s="12">
        <v>439.53</v>
      </c>
      <c r="F29" s="12">
        <v>439.53</v>
      </c>
      <c r="G29" s="12">
        <v>439.53</v>
      </c>
      <c r="H29" s="12">
        <v>571.39</v>
      </c>
      <c r="I29" s="12">
        <v>571.39</v>
      </c>
      <c r="J29" s="12">
        <v>571.39</v>
      </c>
      <c r="K29" s="12">
        <v>571.39</v>
      </c>
      <c r="L29" s="12">
        <v>571.39</v>
      </c>
      <c r="M29" s="12">
        <v>571.39</v>
      </c>
      <c r="N29" s="12">
        <f t="shared" si="23"/>
        <v>6065.52</v>
      </c>
      <c r="Q29" s="4"/>
    </row>
    <row r="30" spans="1:17" ht="26.25" customHeight="1" thickBot="1" x14ac:dyDescent="0.3">
      <c r="A30" s="3" t="s">
        <v>22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f t="shared" si="23"/>
        <v>0</v>
      </c>
    </row>
    <row r="31" spans="1:17" ht="26.25" customHeight="1" thickBot="1" x14ac:dyDescent="0.3">
      <c r="A31" s="3" t="s">
        <v>25</v>
      </c>
      <c r="B31" s="12">
        <f>295.63+0</f>
        <v>295.63</v>
      </c>
      <c r="C31" s="12">
        <f>295.63+0</f>
        <v>295.63</v>
      </c>
      <c r="D31" s="12">
        <f>295.63+52.64</f>
        <v>348.27</v>
      </c>
      <c r="E31" s="12">
        <f>295.63+0</f>
        <v>295.63</v>
      </c>
      <c r="F31" s="12">
        <f t="shared" ref="F31:G31" si="25">295.63+0</f>
        <v>295.63</v>
      </c>
      <c r="G31" s="12">
        <f t="shared" si="25"/>
        <v>295.63</v>
      </c>
      <c r="H31" s="12">
        <f>326.27+0</f>
        <v>326.27</v>
      </c>
      <c r="I31" s="12">
        <f t="shared" ref="I31:J31" si="26">326.27+0</f>
        <v>326.27</v>
      </c>
      <c r="J31" s="12">
        <f t="shared" si="26"/>
        <v>326.27</v>
      </c>
      <c r="K31" s="12">
        <f>326.27+220.75</f>
        <v>547.02</v>
      </c>
      <c r="L31" s="12">
        <f>326.27+1716.59</f>
        <v>2042.86</v>
      </c>
      <c r="M31" s="12">
        <f>326.27+2406.25</f>
        <v>2732.52</v>
      </c>
      <c r="N31" s="12">
        <f t="shared" si="23"/>
        <v>8127.6299999999992</v>
      </c>
    </row>
    <row r="32" spans="1:17" ht="22.5" customHeight="1" thickBot="1" x14ac:dyDescent="0.3">
      <c r="A32" s="3" t="s">
        <v>6</v>
      </c>
      <c r="B32" s="19">
        <f>3598*3.35</f>
        <v>12053.300000000001</v>
      </c>
      <c r="C32" s="19">
        <f t="shared" ref="C32:F32" si="27">3598*3.35</f>
        <v>12053.300000000001</v>
      </c>
      <c r="D32" s="19">
        <f t="shared" si="27"/>
        <v>12053.300000000001</v>
      </c>
      <c r="E32" s="19">
        <f t="shared" si="27"/>
        <v>12053.300000000001</v>
      </c>
      <c r="F32" s="19">
        <f t="shared" si="27"/>
        <v>12053.300000000001</v>
      </c>
      <c r="G32" s="19">
        <f>3598*4.13</f>
        <v>14859.74</v>
      </c>
      <c r="H32" s="19">
        <f t="shared" ref="H32:M32" si="28">3598*4.13</f>
        <v>14859.74</v>
      </c>
      <c r="I32" s="19">
        <f t="shared" si="28"/>
        <v>14859.74</v>
      </c>
      <c r="J32" s="19">
        <f t="shared" si="28"/>
        <v>14859.74</v>
      </c>
      <c r="K32" s="19">
        <f t="shared" si="28"/>
        <v>14859.74</v>
      </c>
      <c r="L32" s="19">
        <f t="shared" si="28"/>
        <v>14859.74</v>
      </c>
      <c r="M32" s="19">
        <f t="shared" si="28"/>
        <v>14859.74</v>
      </c>
      <c r="N32" s="12">
        <f t="shared" si="23"/>
        <v>164284.68</v>
      </c>
    </row>
    <row r="33" spans="1:14" ht="21.75" customHeight="1" thickBot="1" x14ac:dyDescent="0.3">
      <c r="A33" s="3" t="s">
        <v>28</v>
      </c>
      <c r="B33" s="12">
        <v>6139.81</v>
      </c>
      <c r="C33" s="12">
        <v>5190.79</v>
      </c>
      <c r="D33" s="12">
        <v>5111.41</v>
      </c>
      <c r="E33" s="12">
        <v>5723.16</v>
      </c>
      <c r="F33" s="12">
        <v>5986.14</v>
      </c>
      <c r="G33" s="12">
        <v>5494.84</v>
      </c>
      <c r="H33" s="12">
        <v>5642.19</v>
      </c>
      <c r="I33" s="12">
        <v>5890.32</v>
      </c>
      <c r="J33" s="12">
        <v>8870.5400000000009</v>
      </c>
      <c r="K33" s="12">
        <v>5570.56</v>
      </c>
      <c r="L33" s="12">
        <v>6639.64</v>
      </c>
      <c r="M33" s="12">
        <v>6140.39</v>
      </c>
      <c r="N33" s="12">
        <f t="shared" si="23"/>
        <v>72399.790000000008</v>
      </c>
    </row>
    <row r="34" spans="1:14" ht="21.75" customHeight="1" thickBot="1" x14ac:dyDescent="0.3">
      <c r="A34" s="3" t="s">
        <v>29</v>
      </c>
      <c r="B34" s="12">
        <v>917</v>
      </c>
      <c r="C34" s="12">
        <v>776</v>
      </c>
      <c r="D34" s="12">
        <v>764</v>
      </c>
      <c r="E34" s="12">
        <v>855</v>
      </c>
      <c r="F34" s="12">
        <v>894</v>
      </c>
      <c r="G34" s="12">
        <v>821</v>
      </c>
      <c r="H34" s="12">
        <v>843</v>
      </c>
      <c r="I34" s="12">
        <v>880</v>
      </c>
      <c r="J34" s="12">
        <v>1326</v>
      </c>
      <c r="K34" s="12">
        <v>833</v>
      </c>
      <c r="L34" s="12">
        <v>992</v>
      </c>
      <c r="M34" s="12">
        <v>918</v>
      </c>
      <c r="N34" s="12">
        <f t="shared" si="23"/>
        <v>10819</v>
      </c>
    </row>
    <row r="35" spans="1:14" ht="24.75" customHeight="1" thickBot="1" x14ac:dyDescent="0.3">
      <c r="A35" s="3" t="s">
        <v>27</v>
      </c>
      <c r="B35" s="12">
        <v>1000</v>
      </c>
      <c r="C35" s="12">
        <v>1000</v>
      </c>
      <c r="D35" s="12">
        <v>1000</v>
      </c>
      <c r="E35" s="12">
        <v>1000</v>
      </c>
      <c r="F35" s="12">
        <v>1000</v>
      </c>
      <c r="G35" s="12">
        <v>1000</v>
      </c>
      <c r="H35" s="12">
        <v>1000</v>
      </c>
      <c r="I35" s="12">
        <v>1000</v>
      </c>
      <c r="J35" s="12">
        <v>1000</v>
      </c>
      <c r="K35" s="12">
        <v>1000</v>
      </c>
      <c r="L35" s="12">
        <v>1000</v>
      </c>
      <c r="M35" s="12">
        <v>1000</v>
      </c>
      <c r="N35" s="12">
        <f t="shared" si="23"/>
        <v>12000</v>
      </c>
    </row>
    <row r="36" spans="1:14" ht="24.75" customHeight="1" thickBot="1" x14ac:dyDescent="0.3">
      <c r="A36" s="3" t="s">
        <v>14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22437.5</v>
      </c>
      <c r="L36" s="12">
        <v>0</v>
      </c>
      <c r="M36" s="12">
        <v>0</v>
      </c>
      <c r="N36" s="12">
        <f t="shared" si="23"/>
        <v>22437.5</v>
      </c>
    </row>
    <row r="37" spans="1:14" ht="24" customHeight="1" thickBot="1" x14ac:dyDescent="0.3">
      <c r="A37" s="3" t="s">
        <v>10</v>
      </c>
      <c r="B37" s="12">
        <v>0</v>
      </c>
      <c r="C37" s="12">
        <v>0</v>
      </c>
      <c r="D37" s="12">
        <f>10530+2696+5532.4</f>
        <v>18758.400000000001</v>
      </c>
      <c r="E37" s="12">
        <f>11543.6+601.7</f>
        <v>12145.300000000001</v>
      </c>
      <c r="F37" s="12">
        <f>210+2500+4180</f>
        <v>6890</v>
      </c>
      <c r="G37" s="12">
        <f>3037</f>
        <v>3037</v>
      </c>
      <c r="H37" s="12">
        <f>4068.5</f>
        <v>4068.5</v>
      </c>
      <c r="I37" s="12">
        <f>2352.6+5241.7+2539+2728.8+105+4036.2+4406.9</f>
        <v>21410.199999999997</v>
      </c>
      <c r="J37" s="12">
        <f>72750+7786.4+3051.3</f>
        <v>83587.7</v>
      </c>
      <c r="K37" s="12">
        <f>166580.16+11107.4+125</f>
        <v>177812.56</v>
      </c>
      <c r="L37" s="12">
        <f>16339.5</f>
        <v>16339.5</v>
      </c>
      <c r="M37" s="12">
        <f>1391.8+14016.5+3121.3</f>
        <v>18529.599999999999</v>
      </c>
      <c r="N37" s="12">
        <f t="shared" si="23"/>
        <v>362578.75999999995</v>
      </c>
    </row>
    <row r="38" spans="1:14" ht="22.5" customHeight="1" thickBot="1" x14ac:dyDescent="0.3">
      <c r="A38" s="10" t="s">
        <v>23</v>
      </c>
      <c r="B38" s="11">
        <f>SUM(B23:B37)</f>
        <v>71233.339529999997</v>
      </c>
      <c r="C38" s="11">
        <f t="shared" ref="C38:M38" si="29">SUM(C23:C37)</f>
        <v>70444.288499999995</v>
      </c>
      <c r="D38" s="11">
        <f t="shared" si="29"/>
        <v>91496.771399999998</v>
      </c>
      <c r="E38" s="11">
        <f t="shared" si="29"/>
        <v>83639.725319999998</v>
      </c>
      <c r="F38" s="11">
        <f t="shared" si="29"/>
        <v>80330.249939999994</v>
      </c>
      <c r="G38" s="11">
        <f t="shared" si="29"/>
        <v>77471.171619999994</v>
      </c>
      <c r="H38" s="11">
        <f t="shared" si="29"/>
        <v>83039.081359999996</v>
      </c>
      <c r="I38" s="11">
        <f t="shared" si="29"/>
        <v>105345.51849999999</v>
      </c>
      <c r="J38" s="11">
        <f t="shared" si="29"/>
        <v>165581.63459999999</v>
      </c>
      <c r="K38" s="11">
        <f t="shared" si="29"/>
        <v>280142.58794</v>
      </c>
      <c r="L38" s="11">
        <f t="shared" si="29"/>
        <v>106061.49778000001</v>
      </c>
      <c r="M38" s="11">
        <f t="shared" si="29"/>
        <v>110614.87094000002</v>
      </c>
      <c r="N38" s="11">
        <f>SUM(B38:M38)</f>
        <v>1325400.7374300002</v>
      </c>
    </row>
    <row r="39" spans="1:14" ht="23.25" customHeight="1" thickBot="1" x14ac:dyDescent="0.3">
      <c r="A39" s="3" t="s">
        <v>5</v>
      </c>
      <c r="B39" s="20">
        <f t="shared" ref="B39:N39" si="30">B14-B38</f>
        <v>7908.8604699999851</v>
      </c>
      <c r="C39" s="20">
        <f t="shared" si="30"/>
        <v>7325.3815000000031</v>
      </c>
      <c r="D39" s="20">
        <f t="shared" si="30"/>
        <v>-5170.6713999999774</v>
      </c>
      <c r="E39" s="20">
        <f t="shared" si="30"/>
        <v>8030.8746800000081</v>
      </c>
      <c r="F39" s="20">
        <f t="shared" si="30"/>
        <v>3962.8100600000034</v>
      </c>
      <c r="G39" s="20">
        <f t="shared" si="30"/>
        <v>10323.72838</v>
      </c>
      <c r="H39" s="20">
        <f t="shared" si="30"/>
        <v>21099.198640000002</v>
      </c>
      <c r="I39" s="20">
        <f t="shared" si="30"/>
        <v>57144.491500000018</v>
      </c>
      <c r="J39" s="20">
        <f t="shared" si="30"/>
        <v>-60869.1446</v>
      </c>
      <c r="K39" s="20">
        <f t="shared" si="30"/>
        <v>-160812.10794000002</v>
      </c>
      <c r="L39" s="20">
        <f t="shared" si="30"/>
        <v>5206.9122199999838</v>
      </c>
      <c r="M39" s="20">
        <f t="shared" si="30"/>
        <v>-7452.6109400000132</v>
      </c>
      <c r="N39" s="12">
        <f t="shared" si="30"/>
        <v>-113302.27743000025</v>
      </c>
    </row>
    <row r="40" spans="1:14" ht="23.25" customHeight="1" thickBot="1" x14ac:dyDescent="0.3">
      <c r="A40" s="3" t="s">
        <v>7</v>
      </c>
      <c r="B40" s="15">
        <f t="shared" ref="B40:N40" si="31">B4+B39</f>
        <v>-541062.78953000007</v>
      </c>
      <c r="C40" s="15">
        <f t="shared" si="31"/>
        <v>-533737.40803000005</v>
      </c>
      <c r="D40" s="15">
        <f t="shared" si="31"/>
        <v>-538908.07943000004</v>
      </c>
      <c r="E40" s="15">
        <f t="shared" si="31"/>
        <v>-530877.20475000003</v>
      </c>
      <c r="F40" s="15">
        <f t="shared" si="31"/>
        <v>-526914.39468999999</v>
      </c>
      <c r="G40" s="15">
        <f t="shared" si="31"/>
        <v>-516590.66631</v>
      </c>
      <c r="H40" s="15">
        <f t="shared" si="31"/>
        <v>-495491.46766999998</v>
      </c>
      <c r="I40" s="15">
        <f t="shared" si="31"/>
        <v>-438346.97616999998</v>
      </c>
      <c r="J40" s="15">
        <f t="shared" si="31"/>
        <v>-499216.12076999998</v>
      </c>
      <c r="K40" s="15">
        <f t="shared" si="31"/>
        <v>-660028.22870999994</v>
      </c>
      <c r="L40" s="15">
        <f t="shared" si="31"/>
        <v>-654821.31649</v>
      </c>
      <c r="M40" s="15">
        <f t="shared" si="31"/>
        <v>-662273.92743000004</v>
      </c>
      <c r="N40" s="15">
        <f t="shared" si="31"/>
        <v>-662273.92743000027</v>
      </c>
    </row>
    <row r="41" spans="1:14" ht="23.25" customHeight="1" thickBot="1" x14ac:dyDescent="0.3">
      <c r="A41" s="3" t="s">
        <v>43</v>
      </c>
      <c r="B41" s="12">
        <v>0</v>
      </c>
      <c r="C41" s="12">
        <v>0</v>
      </c>
      <c r="D41" s="12">
        <v>23493.98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f>SUM(B41:M41)</f>
        <v>23493.98</v>
      </c>
    </row>
    <row r="42" spans="1:14" ht="27" customHeight="1" thickBot="1" x14ac:dyDescent="0.3">
      <c r="A42" s="16" t="s">
        <v>11</v>
      </c>
      <c r="B42" s="21">
        <f>B5-B6+B14</f>
        <v>-409500.25000000012</v>
      </c>
      <c r="C42" s="21">
        <f>C5-C6+C14</f>
        <v>-421913.98000000016</v>
      </c>
      <c r="D42" s="21">
        <f>D5+D14-D6+D41</f>
        <v>-402277.29000000015</v>
      </c>
      <c r="E42" s="21">
        <f t="shared" ref="E42:N42" si="32">E5+E14-E6+E41</f>
        <v>-402918.51000000018</v>
      </c>
      <c r="F42" s="21">
        <f t="shared" si="32"/>
        <v>-408808.8400000002</v>
      </c>
      <c r="G42" s="21">
        <f t="shared" si="32"/>
        <v>-431721.81000000017</v>
      </c>
      <c r="H42" s="21">
        <f t="shared" si="32"/>
        <v>-436492.49000000017</v>
      </c>
      <c r="I42" s="21">
        <f t="shared" si="32"/>
        <v>-386703.18000000017</v>
      </c>
      <c r="J42" s="21">
        <f t="shared" si="32"/>
        <v>-397521.8400000002</v>
      </c>
      <c r="K42" s="21">
        <f t="shared" si="32"/>
        <v>-389777.6500000002</v>
      </c>
      <c r="L42" s="21">
        <f t="shared" si="32"/>
        <v>-391380.2200000002</v>
      </c>
      <c r="M42" s="21">
        <f t="shared" si="32"/>
        <v>-409898.85000000021</v>
      </c>
      <c r="N42" s="21">
        <f t="shared" si="32"/>
        <v>-409898.85000000009</v>
      </c>
    </row>
    <row r="45" spans="1:14" x14ac:dyDescent="0.25">
      <c r="L45" s="22"/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2026-02-12T08:31:11Z</cp:lastPrinted>
  <dcterms:created xsi:type="dcterms:W3CDTF">2011-06-06T03:25:48Z</dcterms:created>
  <dcterms:modified xsi:type="dcterms:W3CDTF">2026-02-12T08:33:17Z</dcterms:modified>
</cp:coreProperties>
</file>