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22" i="1" l="1"/>
  <c r="M20" i="1"/>
  <c r="M10" i="1"/>
  <c r="M13" i="1"/>
  <c r="M11" i="1"/>
  <c r="L22" i="1"/>
  <c r="L21" i="1"/>
  <c r="L20" i="1"/>
  <c r="L13" i="1"/>
  <c r="L11" i="1"/>
  <c r="K13" i="1"/>
  <c r="K12" i="1"/>
  <c r="K11" i="1"/>
  <c r="L40" i="1" l="1"/>
  <c r="K40" i="1" l="1"/>
  <c r="K34" i="1" l="1"/>
  <c r="L34" i="1"/>
  <c r="M34" i="1"/>
  <c r="L31" i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K26" i="1"/>
  <c r="L26" i="1"/>
  <c r="M26" i="1"/>
  <c r="J22" i="1" l="1"/>
  <c r="J21" i="1"/>
  <c r="J20" i="1"/>
  <c r="J13" i="1"/>
  <c r="J11" i="1"/>
  <c r="J18" i="1"/>
  <c r="I22" i="1"/>
  <c r="I20" i="1"/>
  <c r="I21" i="1"/>
  <c r="I13" i="1"/>
  <c r="I11" i="1"/>
  <c r="I12" i="1"/>
  <c r="H22" i="1"/>
  <c r="H20" i="1"/>
  <c r="H13" i="1"/>
  <c r="H12" i="1"/>
  <c r="H11" i="1"/>
  <c r="H24" i="1" l="1"/>
  <c r="I24" i="1"/>
  <c r="H15" i="1"/>
  <c r="I15" i="1"/>
  <c r="J15" i="1"/>
  <c r="G24" i="1" l="1"/>
  <c r="F24" i="1"/>
  <c r="E24" i="1"/>
  <c r="C24" i="1"/>
  <c r="D24" i="1"/>
  <c r="B24" i="1"/>
  <c r="C15" i="1"/>
  <c r="D15" i="1"/>
  <c r="E15" i="1"/>
  <c r="F15" i="1"/>
  <c r="G15" i="1"/>
  <c r="B15" i="1"/>
  <c r="I34" i="1" l="1"/>
  <c r="J34" i="1"/>
  <c r="H34" i="1"/>
  <c r="H40" i="1" l="1"/>
  <c r="I40" i="1" l="1"/>
  <c r="J40" i="1" l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35" i="1"/>
  <c r="I35" i="1"/>
  <c r="J35" i="1"/>
  <c r="H30" i="1"/>
  <c r="I30" i="1"/>
  <c r="J30" i="1"/>
  <c r="H27" i="1"/>
  <c r="I27" i="1"/>
  <c r="J27" i="1"/>
  <c r="H26" i="1"/>
  <c r="I26" i="1"/>
  <c r="J26" i="1"/>
  <c r="N13" i="1" l="1"/>
  <c r="N14" i="1"/>
  <c r="G13" i="1"/>
  <c r="G11" i="1"/>
  <c r="F22" i="1"/>
  <c r="F21" i="1"/>
  <c r="F20" i="1"/>
  <c r="F13" i="1"/>
  <c r="F11" i="1"/>
  <c r="E22" i="1"/>
  <c r="E21" i="1"/>
  <c r="E20" i="1"/>
  <c r="E13" i="1"/>
  <c r="E12" i="1"/>
  <c r="E11" i="1"/>
  <c r="E34" i="1" l="1"/>
  <c r="F34" i="1"/>
  <c r="G34" i="1"/>
  <c r="G40" i="1" l="1"/>
  <c r="E40" i="1" l="1"/>
  <c r="G29" i="1" l="1"/>
  <c r="G17" i="1"/>
  <c r="G28" i="1"/>
  <c r="G8" i="1"/>
  <c r="F29" i="1" l="1"/>
  <c r="F17" i="1"/>
  <c r="F28" i="1"/>
  <c r="F8" i="1"/>
  <c r="N22" i="1" l="1"/>
  <c r="N23" i="1"/>
  <c r="E29" i="1"/>
  <c r="E17" i="1"/>
  <c r="E28" i="1"/>
  <c r="E8" i="1"/>
  <c r="E35" i="1" l="1"/>
  <c r="F35" i="1"/>
  <c r="G35" i="1"/>
  <c r="E30" i="1"/>
  <c r="F30" i="1"/>
  <c r="G30" i="1"/>
  <c r="E27" i="1"/>
  <c r="F27" i="1"/>
  <c r="G27" i="1"/>
  <c r="E26" i="1"/>
  <c r="F26" i="1"/>
  <c r="G26" i="1"/>
  <c r="D22" i="1" l="1"/>
  <c r="D21" i="1"/>
  <c r="D20" i="1"/>
  <c r="D13" i="1"/>
  <c r="D12" i="1"/>
  <c r="D11" i="1"/>
  <c r="C19" i="1"/>
  <c r="C22" i="1"/>
  <c r="C20" i="1"/>
  <c r="C13" i="1"/>
  <c r="C11" i="1"/>
  <c r="C12" i="1"/>
  <c r="B19" i="1"/>
  <c r="B22" i="1"/>
  <c r="B20" i="1"/>
  <c r="B10" i="1"/>
  <c r="B13" i="1"/>
  <c r="B11" i="1"/>
  <c r="C34" i="1" l="1"/>
  <c r="D34" i="1"/>
  <c r="B34" i="1"/>
  <c r="C40" i="1" l="1"/>
  <c r="C30" i="1" l="1"/>
  <c r="D30" i="1"/>
  <c r="B30" i="1"/>
  <c r="D28" i="1"/>
  <c r="C28" i="1"/>
  <c r="D27" i="1"/>
  <c r="C27" i="1"/>
  <c r="D29" i="1" l="1"/>
  <c r="D17" i="1"/>
  <c r="D8" i="1"/>
  <c r="N44" i="1"/>
  <c r="C29" i="1" l="1"/>
  <c r="C17" i="1"/>
  <c r="C8" i="1"/>
  <c r="B29" i="1" l="1"/>
  <c r="B17" i="1"/>
  <c r="B28" i="1"/>
  <c r="B8" i="1"/>
  <c r="N35" i="1" l="1"/>
  <c r="N36" i="1"/>
  <c r="C35" i="1"/>
  <c r="D35" i="1"/>
  <c r="N27" i="1"/>
  <c r="C26" i="1"/>
  <c r="D26" i="1"/>
  <c r="N31" i="1"/>
  <c r="N32" i="1"/>
  <c r="N33" i="1"/>
  <c r="N34" i="1"/>
  <c r="N37" i="1"/>
  <c r="N39" i="1"/>
  <c r="N40" i="1"/>
  <c r="N38" i="1"/>
  <c r="B35" i="1"/>
  <c r="N29" i="1"/>
  <c r="N28" i="1"/>
  <c r="B27" i="1"/>
  <c r="B26" i="1"/>
  <c r="N26" i="1" l="1"/>
  <c r="N30" i="1"/>
  <c r="C41" i="1"/>
  <c r="D41" i="1"/>
  <c r="E41" i="1"/>
  <c r="F41" i="1"/>
  <c r="G41" i="1"/>
  <c r="H41" i="1"/>
  <c r="I41" i="1"/>
  <c r="J41" i="1"/>
  <c r="B41" i="1"/>
  <c r="N18" i="1"/>
  <c r="N19" i="1"/>
  <c r="N20" i="1"/>
  <c r="N21" i="1"/>
  <c r="N24" i="1"/>
  <c r="N17" i="1"/>
  <c r="N9" i="1"/>
  <c r="N10" i="1"/>
  <c r="N11" i="1"/>
  <c r="N12" i="1"/>
  <c r="N15" i="1"/>
  <c r="N8" i="1"/>
  <c r="B16" i="1" l="1"/>
  <c r="N6" i="1" l="1"/>
  <c r="N5" i="1"/>
  <c r="L16" i="1" l="1"/>
  <c r="K16" i="1"/>
  <c r="M16" i="1"/>
  <c r="K7" i="1"/>
  <c r="L7" i="1"/>
  <c r="M7" i="1"/>
  <c r="M41" i="1" l="1"/>
  <c r="M42" i="1" s="1"/>
  <c r="K41" i="1"/>
  <c r="L41" i="1"/>
  <c r="L42" i="1" s="1"/>
  <c r="K42" i="1" l="1"/>
  <c r="N41" i="1"/>
  <c r="H16" i="1"/>
  <c r="I16" i="1"/>
  <c r="J16" i="1"/>
  <c r="H7" i="1"/>
  <c r="I7" i="1"/>
  <c r="J7" i="1"/>
  <c r="F16" i="1"/>
  <c r="F7" i="1"/>
  <c r="E7" i="1" l="1"/>
  <c r="E16" i="1"/>
  <c r="E42" i="1" s="1"/>
  <c r="G7" i="1"/>
  <c r="G16" i="1"/>
  <c r="J42" i="1"/>
  <c r="I42" i="1"/>
  <c r="F42" i="1"/>
  <c r="G42" i="1" l="1"/>
  <c r="H42" i="1"/>
  <c r="D16" i="1"/>
  <c r="D7" i="1"/>
  <c r="C16" i="1"/>
  <c r="C7" i="1"/>
  <c r="B7" i="1"/>
  <c r="N7" i="1" l="1"/>
  <c r="N16" i="1"/>
  <c r="D42" i="1"/>
  <c r="C42" i="1"/>
  <c r="B45" i="1"/>
  <c r="N45" i="1" l="1"/>
  <c r="C6" i="1"/>
  <c r="C45" i="1" s="1"/>
  <c r="D6" i="1" s="1"/>
  <c r="D45" i="1" l="1"/>
  <c r="E6" i="1" s="1"/>
  <c r="E45" i="1" s="1"/>
  <c r="N42" i="1"/>
  <c r="N43" i="1" s="1"/>
  <c r="B42" i="1"/>
  <c r="B43" i="1" s="1"/>
  <c r="C5" i="1" l="1"/>
  <c r="C43" i="1" s="1"/>
  <c r="D5" i="1" s="1"/>
  <c r="D43" i="1" l="1"/>
  <c r="F6" i="1" l="1"/>
  <c r="F45" i="1" s="1"/>
  <c r="E5" i="1"/>
  <c r="E43" i="1" l="1"/>
  <c r="F5" i="1" s="1"/>
  <c r="F43" i="1" s="1"/>
  <c r="G5" i="1" s="1"/>
  <c r="G43" i="1" s="1"/>
  <c r="G6" i="1"/>
  <c r="G45" i="1" s="1"/>
  <c r="H6" i="1" l="1"/>
  <c r="H45" i="1" s="1"/>
  <c r="H5" i="1"/>
  <c r="H43" i="1" s="1"/>
  <c r="I6" i="1" l="1"/>
  <c r="I45" i="1" s="1"/>
  <c r="I5" i="1"/>
  <c r="I43" i="1" s="1"/>
  <c r="J6" i="1" l="1"/>
  <c r="J45" i="1" s="1"/>
  <c r="J5" i="1"/>
  <c r="J43" i="1" s="1"/>
  <c r="K6" i="1" l="1"/>
  <c r="K45" i="1" s="1"/>
  <c r="K5" i="1"/>
  <c r="K43" i="1" s="1"/>
  <c r="L6" i="1" l="1"/>
  <c r="L45" i="1" s="1"/>
  <c r="L5" i="1"/>
  <c r="L43" i="1" s="1"/>
  <c r="M6" i="1" l="1"/>
  <c r="M45" i="1" s="1"/>
  <c r="M5" i="1"/>
  <c r="M43" i="1" s="1"/>
</calcChain>
</file>

<file path=xl/sharedStrings.xml><?xml version="1.0" encoding="utf-8"?>
<sst xmlns="http://schemas.openxmlformats.org/spreadsheetml/2006/main" count="56" uniqueCount="46">
  <si>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</si>
  <si>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</si>
  <si>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</si>
  <si>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</si>
  <si>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</si>
  <si>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</si>
  <si>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</si>
  <si>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</si>
  <si>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</si>
  <si>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</si>
  <si>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</si>
  <si>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</si>
  <si>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</si>
  <si>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</si>
  <si>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</si>
  <si>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</si>
  <si>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</si>
  <si>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</si>
  <si>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</si>
  <si>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</si>
  <si>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</si>
  <si>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</si>
  <si>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</si>
  <si>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</si>
  <si>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</si>
  <si>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Охрана общего имущества МКД</t>
  </si>
  <si>
    <t>Отведение сточных вод ОИ</t>
  </si>
  <si>
    <t>Тех.обслуживание узла учета ОДПУ</t>
  </si>
  <si>
    <t xml:space="preserve">Содержание жилья и текущий ремонт,  ОПУ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</si>
  <si>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</si>
  <si>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</si>
  <si>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</si>
  <si>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</si>
  <si>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</si>
  <si>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</si>
  <si>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</si>
  <si>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</si>
  <si>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</si>
  <si>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</t>
  </si>
  <si>
    <t>Сентябрь 2025г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</si>
  <si>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</si>
  <si>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</si>
  <si>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</si>
  <si>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</si>
  <si>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</si>
  <si>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 xml:space="preserve">                 ОТЧЕТ по дому Социалистическая, 52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</si>
</sst>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C4" zoomScale="75" workbookViewId="0">
      <selection activeCell="O11" sqref="O11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4" width="13.88671875" customWidth="1"/>
    <col min="5" max="5" width="13.33203125" customWidth="1"/>
    <col min="6" max="6" width="13.88671875" customWidth="1"/>
    <col min="7" max="7" width="14.44140625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15</v>
      </c>
      <c r="B5" s="8">
        <v>-189523.13</v>
      </c>
      <c r="C5" s="8">
        <f t="shared" ref="C5" si="0">B43</f>
        <v>-169981.29339000001</v>
      </c>
      <c r="D5" s="8">
        <f t="shared" ref="D5" si="1">C43</f>
        <v>-179185.69365</v>
      </c>
      <c r="E5" s="8">
        <f t="shared" ref="E5" si="2">D43</f>
        <v>-176367.21229</v>
      </c>
      <c r="F5" s="8">
        <f t="shared" ref="F5" si="3">E43</f>
        <v>-312504.58921000001</v>
      </c>
      <c r="G5" s="8">
        <f t="shared" ref="G5" si="4">F43</f>
        <v>-303347.91038999998</v>
      </c>
      <c r="H5" s="8">
        <f t="shared" ref="H5" si="5">G43</f>
        <v>-370625.39756999997</v>
      </c>
      <c r="I5" s="8">
        <f t="shared" ref="I5" si="6">H43</f>
        <v>-454990.96376999997</v>
      </c>
      <c r="J5" s="8">
        <f t="shared" ref="J5" si="7">I43</f>
        <v>-549530.03194999998</v>
      </c>
      <c r="K5" s="8">
        <f t="shared" ref="K5" si="8">J43</f>
        <v>-586713.60011</v>
      </c>
      <c r="L5" s="8">
        <f t="shared" ref="L5" si="9">K43</f>
        <v>-633492.75569000002</v>
      </c>
      <c r="M5" s="8">
        <f t="shared" ref="M5" si="10">L43</f>
        <v>-633862.65461000009</v>
      </c>
      <c r="N5" s="8">
        <f>B5</f>
        <v>-189523.13</v>
      </c>
    </row>
    <row r="6" spans="1:18" ht="21" customHeight="1" thickBot="1" x14ac:dyDescent="0.3">
      <c r="A6" s="7" t="s">
        <v>13</v>
      </c>
      <c r="B6" s="8">
        <v>-267321.34000000003</v>
      </c>
      <c r="C6" s="8">
        <f>B45</f>
        <v>-259297.65000000002</v>
      </c>
      <c r="D6" s="8">
        <f t="shared" ref="D6" si="11">C45</f>
        <v>-268928.32</v>
      </c>
      <c r="E6" s="8">
        <f t="shared" ref="E6" si="12">D45</f>
        <v>-274460.20999999996</v>
      </c>
      <c r="F6" s="8">
        <f t="shared" ref="F6" si="13">E45</f>
        <v>-279643.64999999997</v>
      </c>
      <c r="G6" s="8">
        <f t="shared" ref="G6" si="14">F45</f>
        <v>-284456.11</v>
      </c>
      <c r="H6" s="8">
        <f t="shared" ref="H6:M6" si="15">G45</f>
        <v>-285283.45999999996</v>
      </c>
      <c r="I6" s="8">
        <f t="shared" si="15"/>
        <v>-290055.57999999996</v>
      </c>
      <c r="J6" s="8">
        <f t="shared" si="15"/>
        <v>-300210.51</v>
      </c>
      <c r="K6" s="8">
        <f t="shared" si="15"/>
        <v>-290968.53000000003</v>
      </c>
      <c r="L6" s="8">
        <f t="shared" si="15"/>
        <v>-328059.62000000005</v>
      </c>
      <c r="M6" s="8">
        <f t="shared" si="15"/>
        <v>-331314.72000000009</v>
      </c>
      <c r="N6" s="8">
        <f>B6</f>
        <v>-267321.34000000003</v>
      </c>
    </row>
    <row r="7" spans="1:18" ht="20.25" customHeight="1" thickBot="1" x14ac:dyDescent="0.3">
      <c r="A7" s="9" t="s">
        <v>12</v>
      </c>
      <c r="B7" s="10">
        <f t="shared" ref="B7:M7" si="16">SUM(B8:B15)</f>
        <v>83514.320000000007</v>
      </c>
      <c r="C7" s="10">
        <f t="shared" si="16"/>
        <v>85760.709999999992</v>
      </c>
      <c r="D7" s="10">
        <f t="shared" si="16"/>
        <v>86919.81</v>
      </c>
      <c r="E7" s="10">
        <f t="shared" si="16"/>
        <v>88447.010000000009</v>
      </c>
      <c r="F7" s="10">
        <f t="shared" si="16"/>
        <v>82304.23000000001</v>
      </c>
      <c r="G7" s="10">
        <f t="shared" si="16"/>
        <v>82304.23000000001</v>
      </c>
      <c r="H7" s="10">
        <f t="shared" si="16"/>
        <v>82635.47</v>
      </c>
      <c r="I7" s="10">
        <f t="shared" si="16"/>
        <v>85515.709999999992</v>
      </c>
      <c r="J7" s="10">
        <f t="shared" si="16"/>
        <v>82420.149999999994</v>
      </c>
      <c r="K7" s="10">
        <f t="shared" si="16"/>
        <v>109489.07</v>
      </c>
      <c r="L7" s="10">
        <f t="shared" si="16"/>
        <v>103657.25</v>
      </c>
      <c r="M7" s="10">
        <f t="shared" si="16"/>
        <v>120907.94</v>
      </c>
      <c r="N7" s="10">
        <f>SUM(B7:M7)</f>
        <v>1093875.8999999999</v>
      </c>
    </row>
    <row r="8" spans="1:18" ht="24.75" customHeight="1" thickBot="1" x14ac:dyDescent="0.3">
      <c r="A8" s="4" t="s">
        <v>28</v>
      </c>
      <c r="B8" s="11">
        <f t="shared" ref="B8:G8" si="17">70016.22+1477.47</f>
        <v>71493.69</v>
      </c>
      <c r="C8" s="11">
        <f t="shared" si="17"/>
        <v>71493.69</v>
      </c>
      <c r="D8" s="11">
        <f t="shared" si="17"/>
        <v>71493.69</v>
      </c>
      <c r="E8" s="11">
        <f t="shared" si="17"/>
        <v>71493.69</v>
      </c>
      <c r="F8" s="11">
        <f t="shared" si="17"/>
        <v>71493.69</v>
      </c>
      <c r="G8" s="11">
        <f t="shared" si="17"/>
        <v>71493.69</v>
      </c>
      <c r="H8" s="11">
        <f>70016.22+1477.47</f>
        <v>71493.69</v>
      </c>
      <c r="I8" s="11">
        <f>70016.22+1477.47</f>
        <v>71493.69</v>
      </c>
      <c r="J8" s="11">
        <f>70016.22+1477.47</f>
        <v>71493.69</v>
      </c>
      <c r="K8" s="11">
        <f>91236.22+1477.47</f>
        <v>92713.69</v>
      </c>
      <c r="L8" s="11">
        <f>91213.83+1477.12</f>
        <v>92690.95</v>
      </c>
      <c r="M8" s="11">
        <f>91213.83+1477.12</f>
        <v>92690.95</v>
      </c>
      <c r="N8" s="11">
        <f>SUM(B8:M8)</f>
        <v>921538.79999999981</v>
      </c>
    </row>
    <row r="9" spans="1:18" ht="24.75" customHeight="1" thickBot="1" x14ac:dyDescent="0.3">
      <c r="A9" s="4" t="s">
        <v>16</v>
      </c>
      <c r="B9" s="11">
        <v>2111.48</v>
      </c>
      <c r="C9" s="11">
        <v>2111.48</v>
      </c>
      <c r="D9" s="11">
        <v>2111.48</v>
      </c>
      <c r="E9" s="11">
        <v>2111.48</v>
      </c>
      <c r="F9" s="11">
        <v>2111.48</v>
      </c>
      <c r="G9" s="11">
        <v>2111.48</v>
      </c>
      <c r="H9" s="11">
        <v>2111.48</v>
      </c>
      <c r="I9" s="11">
        <v>2111.48</v>
      </c>
      <c r="J9" s="11">
        <v>2111.48</v>
      </c>
      <c r="K9" s="11">
        <v>2751.42</v>
      </c>
      <c r="L9" s="11">
        <v>2751.42</v>
      </c>
      <c r="M9" s="11">
        <v>2751.42</v>
      </c>
      <c r="N9" s="11">
        <f t="shared" ref="N9:N15" si="18">SUM(B9:M9)</f>
        <v>27257.579999999994</v>
      </c>
    </row>
    <row r="10" spans="1:18" ht="24.75" customHeight="1" thickBot="1" x14ac:dyDescent="0.3">
      <c r="A10" s="4" t="s">
        <v>17</v>
      </c>
      <c r="B10" s="11">
        <f>1174.7+35.39</f>
        <v>1210.0900000000001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f>16745.43+505.26</f>
        <v>17250.689999999999</v>
      </c>
      <c r="N10" s="11">
        <f t="shared" si="18"/>
        <v>18460.78</v>
      </c>
    </row>
    <row r="11" spans="1:18" ht="24.75" customHeight="1" thickBot="1" x14ac:dyDescent="0.3">
      <c r="A11" s="4" t="s">
        <v>18</v>
      </c>
      <c r="B11" s="11">
        <f t="shared" ref="B11:G11" si="19">276.61+7.86</f>
        <v>284.47000000000003</v>
      </c>
      <c r="C11" s="11">
        <f t="shared" si="19"/>
        <v>284.47000000000003</v>
      </c>
      <c r="D11" s="11">
        <f t="shared" si="19"/>
        <v>284.47000000000003</v>
      </c>
      <c r="E11" s="11">
        <f t="shared" si="19"/>
        <v>284.47000000000003</v>
      </c>
      <c r="F11" s="11">
        <f t="shared" si="19"/>
        <v>284.47000000000003</v>
      </c>
      <c r="G11" s="11">
        <f t="shared" si="19"/>
        <v>284.47000000000003</v>
      </c>
      <c r="H11" s="11">
        <f>359.6+10.81</f>
        <v>370.41</v>
      </c>
      <c r="I11" s="11">
        <f>359.6+10.81</f>
        <v>370.41</v>
      </c>
      <c r="J11" s="11">
        <f>359.6+10.81</f>
        <v>370.41</v>
      </c>
      <c r="K11" s="11">
        <f>359.6+10.81</f>
        <v>370.41</v>
      </c>
      <c r="L11" s="11">
        <f>359.51+10.81</f>
        <v>370.32</v>
      </c>
      <c r="M11" s="11">
        <f>359.51+10.81</f>
        <v>370.32</v>
      </c>
      <c r="N11" s="11">
        <f t="shared" si="18"/>
        <v>3929.1</v>
      </c>
    </row>
    <row r="12" spans="1:18" ht="24.75" customHeight="1" thickBot="1" x14ac:dyDescent="0.3">
      <c r="A12" s="4" t="s">
        <v>19</v>
      </c>
      <c r="B12" s="11">
        <v>0</v>
      </c>
      <c r="C12" s="11">
        <f>3355.23+101.25</f>
        <v>3456.48</v>
      </c>
      <c r="D12" s="11">
        <f>4480.91+134.67</f>
        <v>4615.58</v>
      </c>
      <c r="E12" s="11">
        <f>5962.89+179.89</f>
        <v>6142.7800000000007</v>
      </c>
      <c r="F12" s="11">
        <v>0</v>
      </c>
      <c r="G12" s="11">
        <v>0</v>
      </c>
      <c r="H12" s="11">
        <f>237.43+6.88</f>
        <v>244.31</v>
      </c>
      <c r="I12" s="11">
        <f>3005.12+90.44</f>
        <v>3095.56</v>
      </c>
      <c r="J12" s="11">
        <v>0</v>
      </c>
      <c r="K12" s="11">
        <f>5638.92+170.06</f>
        <v>5808.9800000000005</v>
      </c>
      <c r="L12" s="11">
        <v>0</v>
      </c>
      <c r="M12" s="11">
        <v>0</v>
      </c>
      <c r="N12" s="11">
        <f t="shared" si="18"/>
        <v>23363.69</v>
      </c>
    </row>
    <row r="13" spans="1:18" ht="24.75" customHeight="1" thickBot="1" x14ac:dyDescent="0.3">
      <c r="A13" s="4" t="s">
        <v>26</v>
      </c>
      <c r="B13" s="11">
        <f t="shared" ref="B13:G13" si="20">279.05+7.86</f>
        <v>286.91000000000003</v>
      </c>
      <c r="C13" s="11">
        <f t="shared" si="20"/>
        <v>286.91000000000003</v>
      </c>
      <c r="D13" s="11">
        <f t="shared" si="20"/>
        <v>286.91000000000003</v>
      </c>
      <c r="E13" s="11">
        <f t="shared" si="20"/>
        <v>286.91000000000003</v>
      </c>
      <c r="F13" s="11">
        <f t="shared" si="20"/>
        <v>286.91000000000003</v>
      </c>
      <c r="G13" s="11">
        <f t="shared" si="20"/>
        <v>286.91000000000003</v>
      </c>
      <c r="H13" s="11">
        <f>279.05+8.85</f>
        <v>287.90000000000003</v>
      </c>
      <c r="I13" s="11">
        <f>308.04+8.85</f>
        <v>316.89000000000004</v>
      </c>
      <c r="J13" s="11">
        <f>308.04+8.85</f>
        <v>316.89000000000004</v>
      </c>
      <c r="K13" s="11">
        <f>308.04+8.85</f>
        <v>316.89000000000004</v>
      </c>
      <c r="L13" s="11">
        <f>308.03+8.85</f>
        <v>316.88</v>
      </c>
      <c r="M13" s="11">
        <f>308.03+8.85</f>
        <v>316.88</v>
      </c>
      <c r="N13" s="11">
        <f t="shared" si="18"/>
        <v>3593.7900000000004</v>
      </c>
    </row>
    <row r="14" spans="1:18" ht="24.75" customHeight="1" thickBot="1" x14ac:dyDescent="0.3">
      <c r="A14" s="4" t="s">
        <v>29</v>
      </c>
      <c r="B14" s="11">
        <v>7157.68</v>
      </c>
      <c r="C14" s="11">
        <v>7157.68</v>
      </c>
      <c r="D14" s="11">
        <v>7157.68</v>
      </c>
      <c r="E14" s="11">
        <v>7157.68</v>
      </c>
      <c r="F14" s="11">
        <v>7157.68</v>
      </c>
      <c r="G14" s="11">
        <v>7157.68</v>
      </c>
      <c r="H14" s="11">
        <v>7157.68</v>
      </c>
      <c r="I14" s="11">
        <v>7157.68</v>
      </c>
      <c r="J14" s="11">
        <v>7157.68</v>
      </c>
      <c r="K14" s="11">
        <v>7157.68</v>
      </c>
      <c r="L14" s="11">
        <v>7157.68</v>
      </c>
      <c r="M14" s="11">
        <v>7157.68</v>
      </c>
      <c r="N14" s="11">
        <f t="shared" si="18"/>
        <v>85892.160000000003</v>
      </c>
    </row>
    <row r="15" spans="1:18" ht="24.75" customHeight="1" thickBot="1" x14ac:dyDescent="0.3">
      <c r="A15" s="4" t="s">
        <v>14</v>
      </c>
      <c r="B15" s="11">
        <f>1270-300</f>
        <v>970</v>
      </c>
      <c r="C15" s="11">
        <f t="shared" ref="C15:J15" si="21">1270-300</f>
        <v>970</v>
      </c>
      <c r="D15" s="11">
        <f t="shared" si="21"/>
        <v>970</v>
      </c>
      <c r="E15" s="11">
        <f t="shared" si="21"/>
        <v>970</v>
      </c>
      <c r="F15" s="11">
        <f t="shared" si="21"/>
        <v>970</v>
      </c>
      <c r="G15" s="11">
        <f t="shared" si="21"/>
        <v>970</v>
      </c>
      <c r="H15" s="11">
        <f t="shared" si="21"/>
        <v>970</v>
      </c>
      <c r="I15" s="11">
        <f t="shared" si="21"/>
        <v>970</v>
      </c>
      <c r="J15" s="11">
        <f t="shared" si="21"/>
        <v>970</v>
      </c>
      <c r="K15" s="11">
        <v>370</v>
      </c>
      <c r="L15" s="11">
        <v>370</v>
      </c>
      <c r="M15" s="11">
        <v>370</v>
      </c>
      <c r="N15" s="11">
        <f t="shared" si="18"/>
        <v>9840</v>
      </c>
    </row>
    <row r="16" spans="1:18" ht="20.25" customHeight="1" thickBot="1" x14ac:dyDescent="0.3">
      <c r="A16" s="12" t="s">
        <v>8</v>
      </c>
      <c r="B16" s="13">
        <f t="shared" ref="B16:M16" si="22">SUM(B17:B24)</f>
        <v>91538.01</v>
      </c>
      <c r="C16" s="13">
        <f t="shared" si="22"/>
        <v>76130.040000000008</v>
      </c>
      <c r="D16" s="13">
        <f t="shared" si="22"/>
        <v>77407.590000000011</v>
      </c>
      <c r="E16" s="13">
        <f t="shared" si="22"/>
        <v>83263.569999999992</v>
      </c>
      <c r="F16" s="13">
        <f t="shared" si="22"/>
        <v>77491.77</v>
      </c>
      <c r="G16" s="13">
        <f t="shared" si="22"/>
        <v>81476.88</v>
      </c>
      <c r="H16" s="13">
        <f t="shared" si="22"/>
        <v>77863.350000000006</v>
      </c>
      <c r="I16" s="13">
        <f t="shared" si="22"/>
        <v>75360.779999999984</v>
      </c>
      <c r="J16" s="13">
        <f t="shared" si="22"/>
        <v>91662.12999999999</v>
      </c>
      <c r="K16" s="13">
        <f t="shared" si="22"/>
        <v>72397.979999999981</v>
      </c>
      <c r="L16" s="13">
        <f t="shared" si="22"/>
        <v>100402.15</v>
      </c>
      <c r="M16" s="13">
        <f t="shared" si="22"/>
        <v>106343.19999999998</v>
      </c>
      <c r="N16" s="13">
        <f>SUM(B16:M16)</f>
        <v>1011337.4500000001</v>
      </c>
    </row>
    <row r="17" spans="1:15" ht="24" customHeight="1" thickBot="1" x14ac:dyDescent="0.3">
      <c r="A17" s="4" t="s">
        <v>28</v>
      </c>
      <c r="B17" s="11">
        <f>79537.04+1426.26</f>
        <v>80963.299999999988</v>
      </c>
      <c r="C17" s="11">
        <f>65451.41+1712.3</f>
        <v>67163.710000000006</v>
      </c>
      <c r="D17" s="11">
        <f>60821.47+1242.21</f>
        <v>62063.68</v>
      </c>
      <c r="E17" s="11">
        <f>67669.92+1283.59</f>
        <v>68953.509999999995</v>
      </c>
      <c r="F17" s="11">
        <f>60607.17+1315.58</f>
        <v>61922.75</v>
      </c>
      <c r="G17" s="11">
        <f>71614.13+1479.86</f>
        <v>73093.990000000005</v>
      </c>
      <c r="H17" s="11">
        <f>66703.13+1327.35</f>
        <v>68030.48000000001</v>
      </c>
      <c r="I17" s="11">
        <f>64125.81+1313.2</f>
        <v>65439.009999999995</v>
      </c>
      <c r="J17" s="11">
        <f>72046.78+1451.95</f>
        <v>73498.73</v>
      </c>
      <c r="K17" s="11">
        <f>63525.84+1315.84</f>
        <v>64841.679999999993</v>
      </c>
      <c r="L17" s="11">
        <f>84036.15+1430.74</f>
        <v>85466.89</v>
      </c>
      <c r="M17" s="11">
        <f>91810.4+1664.23</f>
        <v>93474.62999999999</v>
      </c>
      <c r="N17" s="11">
        <f>SUM(B17:M17)</f>
        <v>864912.3600000001</v>
      </c>
    </row>
    <row r="18" spans="1:15" ht="26.25" customHeight="1" thickBot="1" x14ac:dyDescent="0.3">
      <c r="A18" s="4" t="s">
        <v>16</v>
      </c>
      <c r="B18" s="11">
        <v>2111.48</v>
      </c>
      <c r="C18" s="11">
        <v>2111.48</v>
      </c>
      <c r="D18" s="11">
        <v>2111.48</v>
      </c>
      <c r="E18" s="11">
        <v>2111.48</v>
      </c>
      <c r="F18" s="11">
        <v>2111.48</v>
      </c>
      <c r="G18" s="11">
        <v>0</v>
      </c>
      <c r="H18" s="11">
        <v>2111.48</v>
      </c>
      <c r="I18" s="11">
        <v>2111.48</v>
      </c>
      <c r="J18" s="11">
        <f>2111.48*2</f>
        <v>4222.96</v>
      </c>
      <c r="K18" s="11">
        <v>0</v>
      </c>
      <c r="L18" s="11">
        <v>2111.48</v>
      </c>
      <c r="M18" s="11">
        <v>2751.42</v>
      </c>
      <c r="N18" s="11">
        <f t="shared" ref="N18:N24" si="23">SUM(B18:M18)</f>
        <v>23866.22</v>
      </c>
    </row>
    <row r="19" spans="1:15" ht="26.25" customHeight="1" thickBot="1" x14ac:dyDescent="0.3">
      <c r="A19" s="4" t="s">
        <v>17</v>
      </c>
      <c r="B19" s="11">
        <f>1.36+35.39</f>
        <v>36.75</v>
      </c>
      <c r="C19" s="11">
        <f>10.05+35.39</f>
        <v>45.44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9.17</v>
      </c>
      <c r="N19" s="11">
        <f t="shared" si="23"/>
        <v>91.36</v>
      </c>
    </row>
    <row r="20" spans="1:15" ht="26.25" customHeight="1" thickBot="1" x14ac:dyDescent="0.3">
      <c r="A20" s="4" t="s">
        <v>18</v>
      </c>
      <c r="B20" s="11">
        <f>312.36+7.86</f>
        <v>320.22000000000003</v>
      </c>
      <c r="C20" s="11">
        <f>227.12+7.86</f>
        <v>234.98000000000002</v>
      </c>
      <c r="D20" s="11">
        <f>240.29+7.86</f>
        <v>248.15</v>
      </c>
      <c r="E20" s="11">
        <f>266.7+7.86</f>
        <v>274.56</v>
      </c>
      <c r="F20" s="11">
        <f>239.22+7.86</f>
        <v>247.08</v>
      </c>
      <c r="G20" s="11">
        <v>280.58</v>
      </c>
      <c r="H20" s="11">
        <f>263.24+7.86</f>
        <v>271.10000000000002</v>
      </c>
      <c r="I20" s="11">
        <f>321.98+10.81</f>
        <v>332.79</v>
      </c>
      <c r="J20" s="11">
        <f>359.77+10.81*2</f>
        <v>381.39</v>
      </c>
      <c r="K20" s="11">
        <v>322.2</v>
      </c>
      <c r="L20" s="11">
        <f>336.84+10.81</f>
        <v>347.65</v>
      </c>
      <c r="M20" s="11">
        <f>361.31+10.81</f>
        <v>372.12</v>
      </c>
      <c r="N20" s="11">
        <f t="shared" si="23"/>
        <v>3632.8199999999997</v>
      </c>
    </row>
    <row r="21" spans="1:15" ht="26.25" customHeight="1" thickBot="1" x14ac:dyDescent="0.3">
      <c r="A21" s="4" t="s">
        <v>19</v>
      </c>
      <c r="B21" s="11">
        <v>284.19</v>
      </c>
      <c r="C21" s="11">
        <v>45.44</v>
      </c>
      <c r="D21" s="11">
        <f>2835.04+101.25</f>
        <v>2936.29</v>
      </c>
      <c r="E21" s="11">
        <f>4009.76+134.67</f>
        <v>4144.43</v>
      </c>
      <c r="F21" s="11">
        <f>4955.86+179.89</f>
        <v>5135.75</v>
      </c>
      <c r="G21" s="11">
        <v>432.4</v>
      </c>
      <c r="H21" s="11">
        <v>272.68</v>
      </c>
      <c r="I21" s="11">
        <f>330.98+6.88</f>
        <v>337.86</v>
      </c>
      <c r="J21" s="11">
        <f>2823.41+90.44+6.88</f>
        <v>2920.73</v>
      </c>
      <c r="K21" s="11">
        <v>149.36000000000001</v>
      </c>
      <c r="L21" s="11">
        <f>4924.15+170.06</f>
        <v>5094.21</v>
      </c>
      <c r="M21" s="11">
        <v>334.34</v>
      </c>
      <c r="N21" s="11">
        <f t="shared" si="23"/>
        <v>22087.68</v>
      </c>
    </row>
    <row r="22" spans="1:15" ht="26.25" customHeight="1" thickBot="1" x14ac:dyDescent="0.3">
      <c r="A22" s="4" t="s">
        <v>26</v>
      </c>
      <c r="B22" s="11">
        <f>40.75+7.86</f>
        <v>48.61</v>
      </c>
      <c r="C22" s="11">
        <f>-94.47+7.86</f>
        <v>-86.61</v>
      </c>
      <c r="D22" s="11">
        <f>3.77+7.86</f>
        <v>11.63</v>
      </c>
      <c r="E22" s="11">
        <f>31.13+7.86</f>
        <v>38.99</v>
      </c>
      <c r="F22" s="11">
        <f>20.46+7.86</f>
        <v>28.32</v>
      </c>
      <c r="G22" s="11">
        <v>75.709999999999994</v>
      </c>
      <c r="H22" s="11">
        <f>19.12+7.86</f>
        <v>26.98</v>
      </c>
      <c r="I22" s="11">
        <f>20.18+8.85</f>
        <v>29.03</v>
      </c>
      <c r="J22" s="11">
        <f>248.81+8.85*2</f>
        <v>266.51</v>
      </c>
      <c r="K22" s="11">
        <v>258.62</v>
      </c>
      <c r="L22" s="11">
        <f>281.06+8.85</f>
        <v>289.91000000000003</v>
      </c>
      <c r="M22" s="11">
        <f>298.17+8.85</f>
        <v>307.02000000000004</v>
      </c>
      <c r="N22" s="11">
        <f t="shared" si="23"/>
        <v>1294.72</v>
      </c>
    </row>
    <row r="23" spans="1:15" ht="26.25" customHeight="1" thickBot="1" x14ac:dyDescent="0.3">
      <c r="A23" s="4" t="s">
        <v>29</v>
      </c>
      <c r="B23" s="11">
        <v>7473.46</v>
      </c>
      <c r="C23" s="11">
        <v>6315.6</v>
      </c>
      <c r="D23" s="11">
        <v>9736.36</v>
      </c>
      <c r="E23" s="11">
        <v>6320.6</v>
      </c>
      <c r="F23" s="11">
        <v>7746.39</v>
      </c>
      <c r="G23" s="11">
        <v>7294.2</v>
      </c>
      <c r="H23" s="11">
        <v>6850.63</v>
      </c>
      <c r="I23" s="11">
        <v>6810.61</v>
      </c>
      <c r="J23" s="11">
        <v>7971.81</v>
      </c>
      <c r="K23" s="11">
        <v>6526.12</v>
      </c>
      <c r="L23" s="11">
        <v>6792.01</v>
      </c>
      <c r="M23" s="11">
        <v>8094.5</v>
      </c>
      <c r="N23" s="11">
        <f t="shared" si="23"/>
        <v>87932.29</v>
      </c>
    </row>
    <row r="24" spans="1:15" ht="26.25" customHeight="1" thickBot="1" x14ac:dyDescent="0.3">
      <c r="A24" s="4" t="s">
        <v>14</v>
      </c>
      <c r="B24" s="14">
        <f>600-300</f>
        <v>300</v>
      </c>
      <c r="C24" s="14">
        <f t="shared" ref="C24:D24" si="24">600-300</f>
        <v>300</v>
      </c>
      <c r="D24" s="14">
        <f t="shared" si="24"/>
        <v>300</v>
      </c>
      <c r="E24" s="14">
        <f>1720-300</f>
        <v>1420</v>
      </c>
      <c r="F24" s="14">
        <f>600-300</f>
        <v>300</v>
      </c>
      <c r="G24" s="14">
        <f>600-300</f>
        <v>300</v>
      </c>
      <c r="H24" s="14">
        <f t="shared" ref="H24:I24" si="25">600-300</f>
        <v>300</v>
      </c>
      <c r="I24" s="14">
        <f t="shared" si="25"/>
        <v>300</v>
      </c>
      <c r="J24" s="14">
        <v>2400</v>
      </c>
      <c r="K24" s="11">
        <v>300</v>
      </c>
      <c r="L24" s="11">
        <v>300</v>
      </c>
      <c r="M24" s="11">
        <v>1000</v>
      </c>
      <c r="N24" s="11">
        <f t="shared" si="23"/>
        <v>7520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M26" si="26">3357.9*0.6</f>
        <v>2014.74</v>
      </c>
      <c r="C26" s="11">
        <f t="shared" si="26"/>
        <v>2014.74</v>
      </c>
      <c r="D26" s="11">
        <f t="shared" si="26"/>
        <v>2014.74</v>
      </c>
      <c r="E26" s="11">
        <f t="shared" si="26"/>
        <v>2014.74</v>
      </c>
      <c r="F26" s="11">
        <f t="shared" si="26"/>
        <v>2014.74</v>
      </c>
      <c r="G26" s="11">
        <f t="shared" si="26"/>
        <v>2014.74</v>
      </c>
      <c r="H26" s="11">
        <f t="shared" si="26"/>
        <v>2014.74</v>
      </c>
      <c r="I26" s="11">
        <f t="shared" si="26"/>
        <v>2014.74</v>
      </c>
      <c r="J26" s="11">
        <f t="shared" si="26"/>
        <v>2014.74</v>
      </c>
      <c r="K26" s="11">
        <f t="shared" si="26"/>
        <v>2014.74</v>
      </c>
      <c r="L26" s="11">
        <f t="shared" si="26"/>
        <v>2014.74</v>
      </c>
      <c r="M26" s="11">
        <f t="shared" si="26"/>
        <v>2014.74</v>
      </c>
      <c r="N26" s="11">
        <f>SUM(B26:M26)</f>
        <v>24176.880000000005</v>
      </c>
    </row>
    <row r="27" spans="1:15" ht="22.5" customHeight="1" thickBot="1" x14ac:dyDescent="0.3">
      <c r="A27" s="4" t="s">
        <v>2</v>
      </c>
      <c r="B27" s="11">
        <f t="shared" ref="B27" si="27">3357.9*0.17</f>
        <v>570.84300000000007</v>
      </c>
      <c r="C27" s="11">
        <f>3357.9*0.2</f>
        <v>671.58</v>
      </c>
      <c r="D27" s="11">
        <f>3357.9*0.2</f>
        <v>671.58</v>
      </c>
      <c r="E27" s="11">
        <f t="shared" ref="E27:M27" si="28">3357.9*0.2</f>
        <v>671.58</v>
      </c>
      <c r="F27" s="11">
        <f t="shared" si="28"/>
        <v>671.58</v>
      </c>
      <c r="G27" s="11">
        <f t="shared" si="28"/>
        <v>671.58</v>
      </c>
      <c r="H27" s="11">
        <f t="shared" si="28"/>
        <v>671.58</v>
      </c>
      <c r="I27" s="11">
        <f t="shared" si="28"/>
        <v>671.58</v>
      </c>
      <c r="J27" s="11">
        <f t="shared" si="28"/>
        <v>671.58</v>
      </c>
      <c r="K27" s="11">
        <f t="shared" si="28"/>
        <v>671.58</v>
      </c>
      <c r="L27" s="11">
        <f t="shared" si="28"/>
        <v>671.58</v>
      </c>
      <c r="M27" s="11">
        <f t="shared" si="28"/>
        <v>671.58</v>
      </c>
      <c r="N27" s="11">
        <f t="shared" ref="N27:N40" si="29">SUM(B27:M27)</f>
        <v>7958.223</v>
      </c>
    </row>
    <row r="28" spans="1:15" ht="21" customHeight="1" thickBot="1" x14ac:dyDescent="0.3">
      <c r="A28" s="4" t="s">
        <v>3</v>
      </c>
      <c r="B28" s="11">
        <f>80381.73*2.3%</f>
        <v>1848.7797899999998</v>
      </c>
      <c r="C28" s="11">
        <f>82562.26*2.6%</f>
        <v>2146.6187599999998</v>
      </c>
      <c r="D28" s="11">
        <f>83687.94*2.6%</f>
        <v>2175.8864400000002</v>
      </c>
      <c r="E28" s="11">
        <f>85169.92*2.6%</f>
        <v>2214.4179200000003</v>
      </c>
      <c r="F28" s="11">
        <f>79207.03*2.6%</f>
        <v>2059.3827800000004</v>
      </c>
      <c r="G28" s="11">
        <f>79207.03*2.6%</f>
        <v>2059.3827800000004</v>
      </c>
      <c r="H28" s="11">
        <f>79527.45*2.6%</f>
        <v>2067.7137000000002</v>
      </c>
      <c r="I28" s="11">
        <f>82324.13*2.6%</f>
        <v>2140.4273800000001</v>
      </c>
      <c r="J28" s="11">
        <f>79319.01*2.6%</f>
        <v>2062.2942600000001</v>
      </c>
      <c r="K28" s="11">
        <f>106177.93*2.6%</f>
        <v>2760.6261800000002</v>
      </c>
      <c r="L28" s="11">
        <f>100516.17*2.6%</f>
        <v>2613.4204200000004</v>
      </c>
      <c r="M28" s="11">
        <f>117261.6*2.6%</f>
        <v>3048.8016000000002</v>
      </c>
      <c r="N28" s="11">
        <f t="shared" si="29"/>
        <v>27197.752009999997</v>
      </c>
    </row>
    <row r="29" spans="1:15" ht="23.25" customHeight="1" thickBot="1" x14ac:dyDescent="0.3">
      <c r="A29" s="4" t="s">
        <v>4</v>
      </c>
      <c r="B29" s="11">
        <f>89075.42*3%</f>
        <v>2672.2626</v>
      </c>
      <c r="C29" s="11">
        <f>73667.45*3%</f>
        <v>2210.0234999999998</v>
      </c>
      <c r="D29" s="11">
        <f>74879.14*3%</f>
        <v>2246.3741999999997</v>
      </c>
      <c r="E29" s="11">
        <f>79581.7*3%</f>
        <v>2387.451</v>
      </c>
      <c r="F29" s="11">
        <f>74884.68*3%</f>
        <v>2246.5403999999999</v>
      </c>
      <c r="G29" s="11">
        <f>81176.88*3%</f>
        <v>2435.3063999999999</v>
      </c>
      <c r="H29" s="11">
        <f>75436.15*3%</f>
        <v>2263.0844999999999</v>
      </c>
      <c r="I29" s="11">
        <f>72922.76*3%</f>
        <v>2187.6827999999996</v>
      </c>
      <c r="J29" s="11">
        <f>84902.53*3%</f>
        <v>2547.0758999999998</v>
      </c>
      <c r="K29" s="11">
        <f>72097.98*3%</f>
        <v>2162.9393999999998</v>
      </c>
      <c r="L29" s="11">
        <f>97800.95*3%</f>
        <v>2934.0284999999999</v>
      </c>
      <c r="M29" s="11">
        <f>102572.12*3%</f>
        <v>3077.1635999999999</v>
      </c>
      <c r="N29" s="11">
        <f t="shared" si="29"/>
        <v>29369.932799999999</v>
      </c>
    </row>
    <row r="30" spans="1:15" ht="23.25" customHeight="1" thickBot="1" x14ac:dyDescent="0.3">
      <c r="A30" s="4" t="s">
        <v>9</v>
      </c>
      <c r="B30" s="20">
        <f>3357.9*12</f>
        <v>40294.800000000003</v>
      </c>
      <c r="C30" s="20">
        <f t="shared" ref="C30:M30" si="30">3357.9*12</f>
        <v>40294.800000000003</v>
      </c>
      <c r="D30" s="20">
        <f t="shared" si="30"/>
        <v>40294.800000000003</v>
      </c>
      <c r="E30" s="20">
        <f t="shared" si="30"/>
        <v>40294.800000000003</v>
      </c>
      <c r="F30" s="20">
        <f t="shared" si="30"/>
        <v>40294.800000000003</v>
      </c>
      <c r="G30" s="20">
        <f t="shared" si="30"/>
        <v>40294.800000000003</v>
      </c>
      <c r="H30" s="20">
        <f t="shared" si="30"/>
        <v>40294.800000000003</v>
      </c>
      <c r="I30" s="20">
        <f t="shared" si="30"/>
        <v>40294.800000000003</v>
      </c>
      <c r="J30" s="20">
        <f t="shared" si="30"/>
        <v>40294.800000000003</v>
      </c>
      <c r="K30" s="20">
        <f t="shared" si="30"/>
        <v>40294.800000000003</v>
      </c>
      <c r="L30" s="20">
        <f t="shared" si="30"/>
        <v>40294.800000000003</v>
      </c>
      <c r="M30" s="20">
        <f t="shared" si="30"/>
        <v>40294.800000000003</v>
      </c>
      <c r="N30" s="11">
        <f t="shared" si="29"/>
        <v>483537.59999999992</v>
      </c>
    </row>
    <row r="31" spans="1:15" ht="26.25" customHeight="1" thickBot="1" x14ac:dyDescent="0.3">
      <c r="A31" s="4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f>15557.55+1693.07</f>
        <v>17250.62</v>
      </c>
      <c r="M31" s="11">
        <v>0</v>
      </c>
      <c r="N31" s="11">
        <f t="shared" si="29"/>
        <v>17250.62</v>
      </c>
    </row>
    <row r="32" spans="1:15" ht="26.25" customHeight="1" thickBot="1" x14ac:dyDescent="0.3">
      <c r="A32" s="4" t="s">
        <v>21</v>
      </c>
      <c r="B32" s="11">
        <v>427.48</v>
      </c>
      <c r="C32" s="11">
        <v>427.48</v>
      </c>
      <c r="D32" s="11">
        <v>427.48</v>
      </c>
      <c r="E32" s="11">
        <v>427.48</v>
      </c>
      <c r="F32" s="11">
        <v>427.48</v>
      </c>
      <c r="G32" s="11">
        <v>427.48</v>
      </c>
      <c r="H32" s="11">
        <v>555.73</v>
      </c>
      <c r="I32" s="11">
        <v>555.73</v>
      </c>
      <c r="J32" s="11">
        <v>555.73</v>
      </c>
      <c r="K32" s="11">
        <v>555.73</v>
      </c>
      <c r="L32" s="11">
        <v>555.73</v>
      </c>
      <c r="M32" s="11">
        <v>555.73</v>
      </c>
      <c r="N32" s="11">
        <f t="shared" si="29"/>
        <v>5899.2599999999984</v>
      </c>
    </row>
    <row r="33" spans="1:14" ht="26.25" customHeight="1" thickBot="1" x14ac:dyDescent="0.3">
      <c r="A33" s="4" t="s">
        <v>22</v>
      </c>
      <c r="B33" s="11">
        <v>3456.39</v>
      </c>
      <c r="C33" s="11">
        <v>4616.07</v>
      </c>
      <c r="D33" s="11">
        <v>6142.68</v>
      </c>
      <c r="E33" s="11">
        <v>0</v>
      </c>
      <c r="F33" s="11">
        <v>0</v>
      </c>
      <c r="G33" s="11">
        <v>244.62</v>
      </c>
      <c r="H33" s="11">
        <v>3095.7</v>
      </c>
      <c r="I33" s="11">
        <v>0</v>
      </c>
      <c r="J33" s="11">
        <v>5808.9</v>
      </c>
      <c r="K33" s="11">
        <v>0</v>
      </c>
      <c r="L33" s="11">
        <v>0</v>
      </c>
      <c r="M33" s="11">
        <v>4823.38</v>
      </c>
      <c r="N33" s="11">
        <f t="shared" si="29"/>
        <v>28187.74</v>
      </c>
    </row>
    <row r="34" spans="1:14" ht="26.25" customHeight="1" thickBot="1" x14ac:dyDescent="0.3">
      <c r="A34" s="4" t="s">
        <v>26</v>
      </c>
      <c r="B34" s="11">
        <f>287.53+0</f>
        <v>287.52999999999997</v>
      </c>
      <c r="C34" s="11">
        <f t="shared" ref="C34:G34" si="31">287.53+0</f>
        <v>287.52999999999997</v>
      </c>
      <c r="D34" s="11">
        <f t="shared" si="31"/>
        <v>287.52999999999997</v>
      </c>
      <c r="E34" s="11">
        <f t="shared" si="31"/>
        <v>287.52999999999997</v>
      </c>
      <c r="F34" s="11">
        <f t="shared" si="31"/>
        <v>287.52999999999997</v>
      </c>
      <c r="G34" s="11">
        <f t="shared" si="31"/>
        <v>287.52999999999997</v>
      </c>
      <c r="H34" s="11">
        <f>317.33+0</f>
        <v>317.33</v>
      </c>
      <c r="I34" s="11">
        <f t="shared" ref="I34:M34" si="32">317.33+0</f>
        <v>317.33</v>
      </c>
      <c r="J34" s="11">
        <f t="shared" si="32"/>
        <v>317.33</v>
      </c>
      <c r="K34" s="11">
        <f t="shared" si="32"/>
        <v>317.33</v>
      </c>
      <c r="L34" s="11">
        <f t="shared" si="32"/>
        <v>317.33</v>
      </c>
      <c r="M34" s="11">
        <f t="shared" si="32"/>
        <v>317.33</v>
      </c>
      <c r="N34" s="11">
        <f t="shared" si="29"/>
        <v>3629.1599999999994</v>
      </c>
    </row>
    <row r="35" spans="1:14" ht="22.5" customHeight="1" thickBot="1" x14ac:dyDescent="0.3">
      <c r="A35" s="4" t="s">
        <v>6</v>
      </c>
      <c r="B35" s="20">
        <f t="shared" ref="B35:J35" si="33">3357.9*3.22</f>
        <v>10812.438</v>
      </c>
      <c r="C35" s="20">
        <f t="shared" si="33"/>
        <v>10812.438</v>
      </c>
      <c r="D35" s="20">
        <f t="shared" si="33"/>
        <v>10812.438</v>
      </c>
      <c r="E35" s="20">
        <f t="shared" si="33"/>
        <v>10812.438</v>
      </c>
      <c r="F35" s="20">
        <f t="shared" si="33"/>
        <v>10812.438</v>
      </c>
      <c r="G35" s="20">
        <f t="shared" si="33"/>
        <v>10812.438</v>
      </c>
      <c r="H35" s="20">
        <f t="shared" si="33"/>
        <v>10812.438</v>
      </c>
      <c r="I35" s="20">
        <f t="shared" si="33"/>
        <v>10812.438</v>
      </c>
      <c r="J35" s="20">
        <f t="shared" si="33"/>
        <v>10812.438</v>
      </c>
      <c r="K35" s="20">
        <f>3357.9*4.2</f>
        <v>14103.18</v>
      </c>
      <c r="L35" s="20">
        <f t="shared" ref="L35:M35" si="34">3357.9*4.2</f>
        <v>14103.18</v>
      </c>
      <c r="M35" s="20">
        <f t="shared" si="34"/>
        <v>14103.18</v>
      </c>
      <c r="N35" s="11">
        <f t="shared" si="29"/>
        <v>139621.48199999999</v>
      </c>
    </row>
    <row r="36" spans="1:14" ht="22.5" customHeight="1" thickBot="1" x14ac:dyDescent="0.3">
      <c r="A36" s="4" t="s">
        <v>25</v>
      </c>
      <c r="B36" s="11">
        <v>2000</v>
      </c>
      <c r="C36" s="11">
        <v>2000</v>
      </c>
      <c r="D36" s="11">
        <v>2200</v>
      </c>
      <c r="E36" s="11">
        <v>2200</v>
      </c>
      <c r="F36" s="11">
        <v>2200</v>
      </c>
      <c r="G36" s="11">
        <v>2200</v>
      </c>
      <c r="H36" s="11">
        <v>2200</v>
      </c>
      <c r="I36" s="11">
        <v>2200</v>
      </c>
      <c r="J36" s="11">
        <v>2200</v>
      </c>
      <c r="K36" s="11">
        <v>2200</v>
      </c>
      <c r="L36" s="11">
        <v>2200</v>
      </c>
      <c r="M36" s="11">
        <v>2200</v>
      </c>
      <c r="N36" s="11">
        <f t="shared" si="29"/>
        <v>26000</v>
      </c>
    </row>
    <row r="37" spans="1:14" ht="21.75" customHeight="1" thickBot="1" x14ac:dyDescent="0.3">
      <c r="A37" s="4" t="s">
        <v>29</v>
      </c>
      <c r="B37" s="11">
        <v>5751.91</v>
      </c>
      <c r="C37" s="11">
        <v>6501.46</v>
      </c>
      <c r="D37" s="11">
        <v>5494.6</v>
      </c>
      <c r="E37" s="11">
        <v>8470.36</v>
      </c>
      <c r="F37" s="11">
        <v>5498.6</v>
      </c>
      <c r="G37" s="11">
        <v>6739.39</v>
      </c>
      <c r="H37" s="11">
        <v>6346.2</v>
      </c>
      <c r="I37" s="11">
        <v>5959.63</v>
      </c>
      <c r="J37" s="11">
        <v>5925.81</v>
      </c>
      <c r="K37" s="11">
        <v>6935.81</v>
      </c>
      <c r="L37" s="11">
        <v>5678.12</v>
      </c>
      <c r="M37" s="11">
        <v>5909.01</v>
      </c>
      <c r="N37" s="11">
        <f t="shared" si="29"/>
        <v>75210.89999999998</v>
      </c>
    </row>
    <row r="38" spans="1:14" ht="21.75" customHeight="1" thickBot="1" x14ac:dyDescent="0.3">
      <c r="A38" s="4" t="s">
        <v>30</v>
      </c>
      <c r="B38" s="11">
        <v>859</v>
      </c>
      <c r="C38" s="11">
        <v>972</v>
      </c>
      <c r="D38" s="11">
        <v>821</v>
      </c>
      <c r="E38" s="11">
        <v>1266</v>
      </c>
      <c r="F38" s="11">
        <v>822</v>
      </c>
      <c r="G38" s="11">
        <v>1007</v>
      </c>
      <c r="H38" s="11">
        <v>948</v>
      </c>
      <c r="I38" s="11">
        <v>891</v>
      </c>
      <c r="J38" s="11">
        <v>885</v>
      </c>
      <c r="K38" s="11">
        <v>1036</v>
      </c>
      <c r="L38" s="11">
        <v>848</v>
      </c>
      <c r="M38" s="11">
        <v>883</v>
      </c>
      <c r="N38" s="11">
        <f t="shared" si="29"/>
        <v>11238</v>
      </c>
    </row>
    <row r="39" spans="1:14" ht="22.5" customHeight="1" thickBot="1" x14ac:dyDescent="0.3">
      <c r="A39" s="4" t="s">
        <v>27</v>
      </c>
      <c r="B39" s="11">
        <v>1000</v>
      </c>
      <c r="C39" s="11">
        <v>1000</v>
      </c>
      <c r="D39" s="11">
        <v>1000</v>
      </c>
      <c r="E39" s="11">
        <v>1000</v>
      </c>
      <c r="F39" s="11">
        <v>1000</v>
      </c>
      <c r="G39" s="11">
        <v>1000</v>
      </c>
      <c r="H39" s="11">
        <v>1000</v>
      </c>
      <c r="I39" s="11">
        <v>1000</v>
      </c>
      <c r="J39" s="11">
        <v>1000</v>
      </c>
      <c r="K39" s="11">
        <v>1000</v>
      </c>
      <c r="L39" s="11">
        <v>1000</v>
      </c>
      <c r="M39" s="11">
        <v>1000</v>
      </c>
      <c r="N39" s="11">
        <f t="shared" si="29"/>
        <v>12000</v>
      </c>
    </row>
    <row r="40" spans="1:14" ht="24" customHeight="1" thickBot="1" x14ac:dyDescent="0.3">
      <c r="A40" s="4" t="s">
        <v>10</v>
      </c>
      <c r="B40" s="11">
        <v>0</v>
      </c>
      <c r="C40" s="11">
        <f>11379.7</f>
        <v>11379.7</v>
      </c>
      <c r="D40" s="11">
        <v>0</v>
      </c>
      <c r="E40" s="11">
        <f>142832.35+4521.8</f>
        <v>147354.15</v>
      </c>
      <c r="F40" s="11">
        <v>0</v>
      </c>
      <c r="G40" s="11">
        <f>9716+52450.3+11706.6+4687.2</f>
        <v>78560.100000000006</v>
      </c>
      <c r="H40" s="11">
        <f>59895.9+4162.6+3173.1+22410</f>
        <v>89641.600000000006</v>
      </c>
      <c r="I40" s="11">
        <f>2958.6+97895.89</f>
        <v>100854.49</v>
      </c>
      <c r="J40" s="11">
        <f>53750</f>
        <v>53750</v>
      </c>
      <c r="K40" s="11">
        <f>41325+1600+2074.4+125</f>
        <v>45124.4</v>
      </c>
      <c r="L40" s="11">
        <f>2000+8290.5</f>
        <v>10290.5</v>
      </c>
      <c r="M40" s="11">
        <v>0</v>
      </c>
      <c r="N40" s="11">
        <f t="shared" si="29"/>
        <v>536954.94000000006</v>
      </c>
    </row>
    <row r="41" spans="1:14" ht="22.5" customHeight="1" thickBot="1" x14ac:dyDescent="0.3">
      <c r="A41" s="9" t="s">
        <v>23</v>
      </c>
      <c r="B41" s="10">
        <f t="shared" ref="B41:M41" si="35">SUM(B26:B40)</f>
        <v>71996.173390000011</v>
      </c>
      <c r="C41" s="10">
        <f t="shared" si="35"/>
        <v>85334.440260000003</v>
      </c>
      <c r="D41" s="10">
        <f t="shared" si="35"/>
        <v>74589.10864000002</v>
      </c>
      <c r="E41" s="10">
        <f t="shared" si="35"/>
        <v>219400.94692000002</v>
      </c>
      <c r="F41" s="10">
        <f t="shared" si="35"/>
        <v>68335.091180000003</v>
      </c>
      <c r="G41" s="10">
        <f t="shared" si="35"/>
        <v>148754.36718</v>
      </c>
      <c r="H41" s="10">
        <f t="shared" si="35"/>
        <v>162228.91620000001</v>
      </c>
      <c r="I41" s="10">
        <f t="shared" si="35"/>
        <v>169899.84818000003</v>
      </c>
      <c r="J41" s="10">
        <f t="shared" si="35"/>
        <v>128845.69816</v>
      </c>
      <c r="K41" s="10">
        <f t="shared" si="35"/>
        <v>119177.13558</v>
      </c>
      <c r="L41" s="10">
        <f t="shared" si="35"/>
        <v>100772.04892</v>
      </c>
      <c r="M41" s="10">
        <f t="shared" si="35"/>
        <v>78898.715199999991</v>
      </c>
      <c r="N41" s="10">
        <f>SUM(B41:M41)</f>
        <v>1428232.4898099999</v>
      </c>
    </row>
    <row r="42" spans="1:14" ht="23.25" customHeight="1" thickBot="1" x14ac:dyDescent="0.3">
      <c r="A42" s="4" t="s">
        <v>5</v>
      </c>
      <c r="B42" s="18">
        <f t="shared" ref="B42:N42" si="36">B16-B41</f>
        <v>19541.836609999984</v>
      </c>
      <c r="C42" s="18">
        <f t="shared" si="36"/>
        <v>-9204.4002599999949</v>
      </c>
      <c r="D42" s="18">
        <f t="shared" si="36"/>
        <v>2818.4813599999907</v>
      </c>
      <c r="E42" s="18">
        <f t="shared" si="36"/>
        <v>-136137.37692000001</v>
      </c>
      <c r="F42" s="18">
        <f t="shared" si="36"/>
        <v>9156.678820000001</v>
      </c>
      <c r="G42" s="18">
        <f t="shared" si="36"/>
        <v>-67277.487179999996</v>
      </c>
      <c r="H42" s="18">
        <f t="shared" si="36"/>
        <v>-84365.566200000001</v>
      </c>
      <c r="I42" s="18">
        <f t="shared" si="36"/>
        <v>-94539.068180000046</v>
      </c>
      <c r="J42" s="18">
        <f t="shared" si="36"/>
        <v>-37183.56816000001</v>
      </c>
      <c r="K42" s="18">
        <f t="shared" si="36"/>
        <v>-46779.155580000021</v>
      </c>
      <c r="L42" s="18">
        <f t="shared" si="36"/>
        <v>-369.89892000000691</v>
      </c>
      <c r="M42" s="18">
        <f t="shared" si="36"/>
        <v>27444.484799999991</v>
      </c>
      <c r="N42" s="11">
        <f t="shared" si="36"/>
        <v>-416895.03980999987</v>
      </c>
    </row>
    <row r="43" spans="1:14" ht="23.25" customHeight="1" thickBot="1" x14ac:dyDescent="0.3">
      <c r="A43" s="4" t="s">
        <v>7</v>
      </c>
      <c r="B43" s="14">
        <f t="shared" ref="B43:N43" si="37">B5+B42</f>
        <v>-169981.29339000001</v>
      </c>
      <c r="C43" s="14">
        <f t="shared" si="37"/>
        <v>-179185.69365</v>
      </c>
      <c r="D43" s="14">
        <f t="shared" si="37"/>
        <v>-176367.21229</v>
      </c>
      <c r="E43" s="14">
        <f t="shared" si="37"/>
        <v>-312504.58921000001</v>
      </c>
      <c r="F43" s="14">
        <f t="shared" si="37"/>
        <v>-303347.91038999998</v>
      </c>
      <c r="G43" s="14">
        <f t="shared" si="37"/>
        <v>-370625.39756999997</v>
      </c>
      <c r="H43" s="14">
        <f t="shared" si="37"/>
        <v>-454990.96376999997</v>
      </c>
      <c r="I43" s="14">
        <f t="shared" si="37"/>
        <v>-549530.03194999998</v>
      </c>
      <c r="J43" s="14">
        <f t="shared" si="37"/>
        <v>-586713.60011</v>
      </c>
      <c r="K43" s="14">
        <f t="shared" si="37"/>
        <v>-633492.75569000002</v>
      </c>
      <c r="L43" s="14">
        <f t="shared" si="37"/>
        <v>-633862.65461000009</v>
      </c>
      <c r="M43" s="14">
        <f t="shared" si="37"/>
        <v>-606418.16981000011</v>
      </c>
      <c r="N43" s="14">
        <f t="shared" si="37"/>
        <v>-606418.16980999988</v>
      </c>
    </row>
    <row r="44" spans="1:14" ht="23.25" customHeight="1" thickBot="1" x14ac:dyDescent="0.3">
      <c r="A44" s="4" t="s">
        <v>44</v>
      </c>
      <c r="B44" s="11">
        <v>0</v>
      </c>
      <c r="C44" s="11">
        <v>0</v>
      </c>
      <c r="D44" s="11">
        <v>3980.33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SUM(B44:M44)</f>
        <v>3980.33</v>
      </c>
    </row>
    <row r="45" spans="1:14" ht="27" customHeight="1" thickBot="1" x14ac:dyDescent="0.3">
      <c r="A45" s="15" t="s">
        <v>11</v>
      </c>
      <c r="B45" s="19">
        <f t="shared" ref="B45:C45" si="38">B6+B16-B7</f>
        <v>-259297.65000000002</v>
      </c>
      <c r="C45" s="19">
        <f t="shared" si="38"/>
        <v>-268928.32</v>
      </c>
      <c r="D45" s="19">
        <f>D6+D16-D7+D44</f>
        <v>-274460.20999999996</v>
      </c>
      <c r="E45" s="19">
        <f t="shared" ref="E45:N45" si="39">E6+E16-E7+E44</f>
        <v>-279643.64999999997</v>
      </c>
      <c r="F45" s="19">
        <f t="shared" si="39"/>
        <v>-284456.11</v>
      </c>
      <c r="G45" s="19">
        <f t="shared" si="39"/>
        <v>-285283.45999999996</v>
      </c>
      <c r="H45" s="19">
        <f t="shared" si="39"/>
        <v>-290055.57999999996</v>
      </c>
      <c r="I45" s="19">
        <f t="shared" si="39"/>
        <v>-300210.51</v>
      </c>
      <c r="J45" s="19">
        <f t="shared" si="39"/>
        <v>-290968.53000000003</v>
      </c>
      <c r="K45" s="19">
        <f t="shared" si="39"/>
        <v>-328059.62000000005</v>
      </c>
      <c r="L45" s="19">
        <f t="shared" si="39"/>
        <v>-331314.72000000009</v>
      </c>
      <c r="M45" s="19">
        <f t="shared" si="39"/>
        <v>-345879.46000000008</v>
      </c>
      <c r="N45" s="19">
        <f t="shared" si="39"/>
        <v>-345879.45999999979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2026-02-19T03:17:46Z</cp:lastPrinted>
  <dcterms:created xsi:type="dcterms:W3CDTF">2011-06-06T03:25:48Z</dcterms:created>
  <dcterms:modified xsi:type="dcterms:W3CDTF">2026-02-19T03:28:04Z</dcterms:modified>
</cp:coreProperties>
</file>