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360" yWindow="96" windowWidth="16152" windowHeight="10992"/>
  </bookViews>
  <sheets>
    <sheet name="2025" sheetId="1" r:id="rId1"/>
  </sheets>
  <calcPr calcId="144525" refMode="R1C1"/>
</workbook>
</file>

<file path=xl/calcChain.xml><?xml version="1.0" encoding="utf-8"?>
<calcChain xmlns="http://schemas.openxmlformats.org/spreadsheetml/2006/main">
  <c r="M40" i="1" l="1"/>
  <c r="K40" i="1" l="1"/>
  <c r="L40" i="1" l="1"/>
  <c r="K32" i="1" l="1"/>
  <c r="L32" i="1"/>
  <c r="M32" i="1"/>
  <c r="M27" i="1" l="1"/>
  <c r="M26" i="1"/>
  <c r="L27" i="1" l="1"/>
  <c r="L26" i="1"/>
  <c r="K27" i="1" l="1"/>
  <c r="K26" i="1"/>
  <c r="K35" i="1" l="1"/>
  <c r="L35" i="1"/>
  <c r="M35" i="1"/>
  <c r="K33" i="1"/>
  <c r="L33" i="1"/>
  <c r="M33" i="1"/>
  <c r="K28" i="1"/>
  <c r="L28" i="1"/>
  <c r="M28" i="1"/>
  <c r="K25" i="1"/>
  <c r="L25" i="1"/>
  <c r="M25" i="1"/>
  <c r="K24" i="1"/>
  <c r="L24" i="1"/>
  <c r="M24" i="1"/>
  <c r="G22" i="1" l="1"/>
  <c r="F22" i="1"/>
  <c r="E22" i="1"/>
  <c r="D22" i="1"/>
  <c r="C22" i="1"/>
  <c r="B22" i="1"/>
  <c r="D14" i="1"/>
  <c r="E14" i="1"/>
  <c r="F14" i="1"/>
  <c r="G14" i="1"/>
  <c r="C14" i="1"/>
  <c r="B14" i="1"/>
  <c r="I32" i="1" l="1"/>
  <c r="J32" i="1"/>
  <c r="H32" i="1"/>
  <c r="H35" i="1" l="1"/>
  <c r="I35" i="1"/>
  <c r="J35" i="1"/>
  <c r="I40" i="1" l="1"/>
  <c r="H40" i="1"/>
  <c r="G40" i="1"/>
  <c r="N36" i="1"/>
  <c r="J27" i="1" l="1"/>
  <c r="J26" i="1"/>
  <c r="I27" i="1" l="1"/>
  <c r="I26" i="1"/>
  <c r="H27" i="1" l="1"/>
  <c r="H33" i="1"/>
  <c r="I33" i="1"/>
  <c r="J33" i="1"/>
  <c r="H28" i="1"/>
  <c r="I28" i="1"/>
  <c r="J28" i="1"/>
  <c r="H26" i="1"/>
  <c r="H25" i="1"/>
  <c r="I25" i="1"/>
  <c r="J25" i="1"/>
  <c r="H24" i="1"/>
  <c r="I24" i="1"/>
  <c r="J24" i="1"/>
  <c r="B33" i="1" l="1"/>
  <c r="C33" i="1"/>
  <c r="D33" i="1"/>
  <c r="E33" i="1"/>
  <c r="F33" i="1"/>
  <c r="F40" i="1" l="1"/>
  <c r="G35" i="1" l="1"/>
  <c r="F35" i="1"/>
  <c r="E35" i="1"/>
  <c r="E32" i="1"/>
  <c r="F32" i="1"/>
  <c r="G32" i="1"/>
  <c r="G27" i="1"/>
  <c r="G26" i="1"/>
  <c r="F27" i="1"/>
  <c r="F26" i="1"/>
  <c r="E27" i="1"/>
  <c r="E26" i="1"/>
  <c r="G33" i="1"/>
  <c r="E28" i="1"/>
  <c r="F28" i="1"/>
  <c r="G28" i="1"/>
  <c r="E25" i="1"/>
  <c r="F25" i="1"/>
  <c r="G25" i="1"/>
  <c r="E24" i="1"/>
  <c r="F24" i="1"/>
  <c r="G24" i="1"/>
  <c r="C32" i="1"/>
  <c r="D32" i="1"/>
  <c r="B32" i="1"/>
  <c r="D40" i="1"/>
  <c r="D35" i="1"/>
  <c r="C35" i="1"/>
  <c r="C40" i="1"/>
  <c r="B7" i="1"/>
  <c r="B15" i="1"/>
  <c r="B45" i="1"/>
  <c r="C6" i="1" s="1"/>
  <c r="C15" i="1"/>
  <c r="C7" i="1"/>
  <c r="D15" i="1"/>
  <c r="D7" i="1"/>
  <c r="E7" i="1"/>
  <c r="E15" i="1"/>
  <c r="F7" i="1"/>
  <c r="F15" i="1"/>
  <c r="G7" i="1"/>
  <c r="G15" i="1"/>
  <c r="C28" i="1"/>
  <c r="D28" i="1"/>
  <c r="B28" i="1"/>
  <c r="D26" i="1"/>
  <c r="C26" i="1"/>
  <c r="D25" i="1"/>
  <c r="C25" i="1"/>
  <c r="D27" i="1"/>
  <c r="N44" i="1"/>
  <c r="B25" i="1"/>
  <c r="C24" i="1"/>
  <c r="D24" i="1"/>
  <c r="B24" i="1"/>
  <c r="C27" i="1"/>
  <c r="B27" i="1"/>
  <c r="B26" i="1"/>
  <c r="B35" i="1"/>
  <c r="N22" i="1"/>
  <c r="N38" i="1"/>
  <c r="N37" i="1"/>
  <c r="N39" i="1"/>
  <c r="N40" i="1"/>
  <c r="N34" i="1"/>
  <c r="N33" i="1"/>
  <c r="N35" i="1"/>
  <c r="N14" i="1"/>
  <c r="N31" i="1"/>
  <c r="N6" i="1"/>
  <c r="N5" i="1"/>
  <c r="M15" i="1"/>
  <c r="K7" i="1"/>
  <c r="N24" i="1"/>
  <c r="N25" i="1"/>
  <c r="N28" i="1"/>
  <c r="N29" i="1"/>
  <c r="N30" i="1"/>
  <c r="N32" i="1"/>
  <c r="N17" i="1"/>
  <c r="N18" i="1"/>
  <c r="N19" i="1"/>
  <c r="N20" i="1"/>
  <c r="N21" i="1"/>
  <c r="K15" i="1"/>
  <c r="L15" i="1"/>
  <c r="N9" i="1"/>
  <c r="N10" i="1"/>
  <c r="N11" i="1"/>
  <c r="N12" i="1"/>
  <c r="N13" i="1"/>
  <c r="L7" i="1"/>
  <c r="M7" i="1"/>
  <c r="M41" i="1"/>
  <c r="L41" i="1"/>
  <c r="K41" i="1"/>
  <c r="J7" i="1"/>
  <c r="I7" i="1"/>
  <c r="I15" i="1"/>
  <c r="H7" i="1"/>
  <c r="J15" i="1"/>
  <c r="I41" i="1"/>
  <c r="H15" i="1"/>
  <c r="J41" i="1"/>
  <c r="H41" i="1"/>
  <c r="N8" i="1"/>
  <c r="D41" i="1"/>
  <c r="D42" i="1" s="1"/>
  <c r="G41" i="1"/>
  <c r="C41" i="1"/>
  <c r="C42" i="1"/>
  <c r="N16" i="1"/>
  <c r="N27" i="1"/>
  <c r="B41" i="1"/>
  <c r="F41" i="1"/>
  <c r="N26" i="1"/>
  <c r="E41" i="1"/>
  <c r="B42" i="1"/>
  <c r="B43" i="1" s="1"/>
  <c r="C5" i="1" s="1"/>
  <c r="M42" i="1" l="1"/>
  <c r="L42" i="1"/>
  <c r="K42" i="1"/>
  <c r="G42" i="1"/>
  <c r="F42" i="1"/>
  <c r="E42" i="1"/>
  <c r="C45" i="1"/>
  <c r="D6" i="1" s="1"/>
  <c r="D45" i="1" s="1"/>
  <c r="E6" i="1" s="1"/>
  <c r="E45" i="1" s="1"/>
  <c r="F6" i="1" s="1"/>
  <c r="F45" i="1" s="1"/>
  <c r="G6" i="1" s="1"/>
  <c r="G45" i="1" s="1"/>
  <c r="H6" i="1" s="1"/>
  <c r="H45" i="1" s="1"/>
  <c r="I6" i="1" s="1"/>
  <c r="I45" i="1" s="1"/>
  <c r="J6" i="1" s="1"/>
  <c r="J45" i="1" s="1"/>
  <c r="K6" i="1" s="1"/>
  <c r="K45" i="1" s="1"/>
  <c r="L6" i="1" s="1"/>
  <c r="L45" i="1" s="1"/>
  <c r="M6" i="1" s="1"/>
  <c r="M45" i="1" s="1"/>
  <c r="J42" i="1"/>
  <c r="N15" i="1"/>
  <c r="I42" i="1"/>
  <c r="N7" i="1"/>
  <c r="H42" i="1"/>
  <c r="C43" i="1"/>
  <c r="D5" i="1" s="1"/>
  <c r="D43" i="1" s="1"/>
  <c r="E5" i="1" s="1"/>
  <c r="E43" i="1" s="1"/>
  <c r="F5" i="1" s="1"/>
  <c r="F43" i="1" s="1"/>
  <c r="G5" i="1" s="1"/>
  <c r="G43" i="1" s="1"/>
  <c r="H5" i="1" s="1"/>
  <c r="N41" i="1"/>
  <c r="N45" i="1" l="1"/>
  <c r="N42" i="1"/>
  <c r="N43" i="1" s="1"/>
  <c r="H43" i="1"/>
  <c r="I5" i="1" s="1"/>
  <c r="I43" i="1" s="1"/>
  <c r="J5" i="1" s="1"/>
  <c r="J43" i="1" s="1"/>
  <c r="K5" i="1" s="1"/>
  <c r="K43" i="1" s="1"/>
  <c r="L5" i="1" s="1"/>
  <c r="L43" i="1" s="1"/>
  <c r="M5" i="1" s="1"/>
  <c r="M43" i="1" s="1"/>
</calcChain>
</file>

<file path=xl/sharedStrings.xml><?xml version="1.0" encoding="utf-8"?>
<sst xmlns="http://schemas.openxmlformats.org/spreadsheetml/2006/main" count="57" uniqueCount="48">
  <si>
    <t>Наименование статей</t>
  </si>
  <si>
    <t>Аварийная служба</t>
  </si>
  <si>
    <t>ЕИРКЦ паспортная служба</t>
  </si>
  <si>
    <t>ЕИРКЦ услуги за начисление</t>
  </si>
  <si>
    <t>Система «Город» по приему платежей</t>
  </si>
  <si>
    <t>Экономия/перерасход (+,-)</t>
  </si>
  <si>
    <t>Услуги управляющей компании</t>
  </si>
  <si>
    <t>Накопительный счет</t>
  </si>
  <si>
    <t>Поступления за месяц, всего:</t>
  </si>
  <si>
    <t>Содержание и техобслуживание МКД</t>
  </si>
  <si>
    <t>Подрядные работы, текущий ремонт</t>
  </si>
  <si>
    <t>Задолженность по оплате (сальдо исходящее)</t>
  </si>
  <si>
    <t>Начисления за месяц, всего:</t>
  </si>
  <si>
    <t xml:space="preserve">Входящее сальдо по оплате на начало периода </t>
  </si>
  <si>
    <t>Дополнительный доход (использование общего имущества)</t>
  </si>
  <si>
    <t>Средства на счете дома на начало периода</t>
  </si>
  <si>
    <t>ГВС на содержание ОИ</t>
  </si>
  <si>
    <t>ХВС на содержание ОИ</t>
  </si>
  <si>
    <t>Эл.энергия на содержание ОИ</t>
  </si>
  <si>
    <t>Расходы ГВС на содержание ОИ</t>
  </si>
  <si>
    <t>Расходы ХВС на содержание ОИ</t>
  </si>
  <si>
    <t>Расходы эл.энергия на содержание ОИ</t>
  </si>
  <si>
    <t>Итого расходы</t>
  </si>
  <si>
    <t>РАСХОДЫ</t>
  </si>
  <si>
    <t>Тех.обслуживание приборов учета</t>
  </si>
  <si>
    <t>Комплексное обслуживание лифтов</t>
  </si>
  <si>
    <t>Отведение стоков на ОИ</t>
  </si>
  <si>
    <t>Содержание жилья и текущий ремонт,  ОПУ</t>
  </si>
  <si>
    <t xml:space="preserve">Периодическое техническое освидетельствование  лифтов </t>
  </si>
  <si>
    <t>Вознаграждение совета МКД</t>
  </si>
  <si>
    <t>Налоги с вознаграждения совета МКД</t>
  </si>
  <si>
    <t>Январь 2025г.</t>
  </si>
  <si>
    <t>Февраль 2025г.</t>
  </si>
  <si>
    <t>Март 2025г.</t>
  </si>
  <si>
    <t>Апрель 2025г.</t>
  </si>
  <si>
    <t>Май 2025г.</t>
  </si>
  <si>
    <t>Июнь 2025г.</t>
  </si>
  <si>
    <t>Июль 2025г.</t>
  </si>
  <si>
    <t>Август 2025г.</t>
  </si>
  <si>
    <t>Сентябрь 2025г.</t>
  </si>
  <si>
    <t>Октябрь 2025г</t>
  </si>
  <si>
    <t>Ноябрь 2025г</t>
  </si>
  <si>
    <t>Декабрь 2025г</t>
  </si>
  <si>
    <t>Всего:                       за  2025г.</t>
  </si>
  <si>
    <t xml:space="preserve">Корректировка задолженности </t>
  </si>
  <si>
    <t>Услуга по выкату и перемещению контейнеров с отходами</t>
  </si>
  <si>
    <t xml:space="preserve">                 ОТЧЕТ по дому Пугачева, 2/1 за период 01.01.2025г. по 31.12.2025г.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</si>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</sst>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\ _₽"/>
  </numFmts>
  <fonts count="8" x14ac:knownFonts="1">
    <font>
      <sz val="10"/>
      <name val="Arial Cyr"/>
      <charset val="204"/>
    </font>
    <font>
      <b/>
      <sz val="8"/>
      <name val="Times New Roman"/>
      <family val="1"/>
      <charset val="204"/>
    </font>
    <font>
      <b/>
      <sz val="16"/>
      <name val="Times New Roman"/>
      <family val="1"/>
      <charset val="204"/>
    </font>
    <font>
      <sz val="8"/>
      <name val="Arial Cyr"/>
      <charset val="204"/>
    </font>
    <font>
      <b/>
      <sz val="10"/>
      <name val="Arial Cyr"/>
      <charset val="204"/>
    </font>
    <font>
      <sz val="12"/>
      <name val="Times New Roman"/>
      <family val="1"/>
      <charset val="204"/>
    </font>
    <font>
      <sz val="16"/>
      <name val="Arial Cyr"/>
      <charset val="204"/>
    </font>
    <font>
      <b/>
      <sz val="12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  <fill>
      <patternFill patternType="solid">
        <fgColor indexed="15"/>
        <bgColor indexed="64"/>
      </patternFill>
    </fill>
    <fill>
      <patternFill patternType="solid">
        <fgColor indexed="53"/>
        <bgColor indexed="64"/>
      </patternFill>
    </fill>
  </fills>
  <borders count="7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0" borderId="0" xfId="0" applyFont="1"/>
    <xf numFmtId="0" fontId="4" fillId="0" borderId="0" xfId="0" applyFont="1"/>
    <xf numFmtId="0" fontId="0" fillId="0" borderId="0" xfId="0" applyBorder="1"/>
    <xf numFmtId="0" fontId="5" fillId="0" borderId="3" xfId="0" applyFont="1" applyBorder="1" applyAlignment="1">
      <alignment vertical="top" wrapText="1"/>
    </xf>
    <xf numFmtId="0" fontId="7" fillId="0" borderId="1" xfId="0" applyFont="1" applyBorder="1" applyAlignment="1">
      <alignment vertical="top" wrapText="1"/>
    </xf>
    <xf numFmtId="0" fontId="7" fillId="0" borderId="2" xfId="0" applyFont="1" applyBorder="1" applyAlignment="1">
      <alignment vertical="top" wrapText="1"/>
    </xf>
    <xf numFmtId="0" fontId="7" fillId="2" borderId="3" xfId="0" applyFont="1" applyFill="1" applyBorder="1" applyAlignment="1">
      <alignment vertical="top" wrapText="1"/>
    </xf>
    <xf numFmtId="164" fontId="7" fillId="2" borderId="4" xfId="0" applyNumberFormat="1" applyFont="1" applyFill="1" applyBorder="1" applyAlignment="1">
      <alignment horizontal="left" vertical="top" wrapText="1"/>
    </xf>
    <xf numFmtId="0" fontId="7" fillId="3" borderId="3" xfId="0" applyFont="1" applyFill="1" applyBorder="1" applyAlignment="1">
      <alignment vertical="top" wrapText="1"/>
    </xf>
    <xf numFmtId="164" fontId="7" fillId="3" borderId="4" xfId="0" applyNumberFormat="1" applyFont="1" applyFill="1" applyBorder="1" applyAlignment="1">
      <alignment horizontal="left" vertical="top" wrapText="1"/>
    </xf>
    <xf numFmtId="164" fontId="5" fillId="0" borderId="4" xfId="0" applyNumberFormat="1" applyFont="1" applyBorder="1" applyAlignment="1">
      <alignment horizontal="left" vertical="top" wrapText="1"/>
    </xf>
    <xf numFmtId="0" fontId="7" fillId="4" borderId="3" xfId="0" applyFont="1" applyFill="1" applyBorder="1" applyAlignment="1">
      <alignment vertical="top" wrapText="1"/>
    </xf>
    <xf numFmtId="164" fontId="7" fillId="4" borderId="4" xfId="0" applyNumberFormat="1" applyFont="1" applyFill="1" applyBorder="1" applyAlignment="1">
      <alignment horizontal="left" vertical="top" wrapText="1"/>
    </xf>
    <xf numFmtId="164" fontId="5" fillId="0" borderId="1" xfId="0" applyNumberFormat="1" applyFont="1" applyBorder="1" applyAlignment="1">
      <alignment horizontal="left" vertical="top" wrapText="1"/>
    </xf>
    <xf numFmtId="0" fontId="7" fillId="0" borderId="3" xfId="0" applyFont="1" applyBorder="1" applyAlignment="1">
      <alignment vertical="top" wrapText="1"/>
    </xf>
    <xf numFmtId="164" fontId="7" fillId="0" borderId="5" xfId="0" applyNumberFormat="1" applyFont="1" applyBorder="1" applyAlignment="1">
      <alignment horizontal="left" vertical="top" wrapText="1"/>
    </xf>
    <xf numFmtId="164" fontId="7" fillId="0" borderId="2" xfId="0" applyNumberFormat="1" applyFont="1" applyBorder="1" applyAlignment="1">
      <alignment horizontal="left" vertical="top" wrapText="1"/>
    </xf>
    <xf numFmtId="164" fontId="5" fillId="0" borderId="6" xfId="0" applyNumberFormat="1" applyFont="1" applyBorder="1" applyAlignment="1">
      <alignment horizontal="left" vertical="top" wrapText="1"/>
    </xf>
    <xf numFmtId="164" fontId="7" fillId="0" borderId="4" xfId="0" applyNumberFormat="1" applyFont="1" applyBorder="1" applyAlignment="1">
      <alignment horizontal="left" vertical="top" wrapText="1"/>
    </xf>
    <xf numFmtId="164" fontId="5" fillId="0" borderId="4" xfId="0" applyNumberFormat="1" applyFont="1" applyFill="1" applyBorder="1" applyAlignment="1">
      <alignment horizontal="left" vertical="top" wrapText="1"/>
    </xf>
    <xf numFmtId="0" fontId="2" fillId="0" borderId="0" xfId="0" applyFont="1" applyAlignment="1">
      <alignment horizontal="center"/>
    </xf>
    <xf numFmtId="0" fontId="6" fillId="0" borderId="0" xfId="0" applyFont="1" applyAlignment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45"/>
  <sheetViews>
    <sheetView tabSelected="1" topLeftCell="C25" zoomScale="75" workbookViewId="0">
      <selection activeCell="O33" sqref="O33"/>
    </sheetView>
  </sheetViews>
  <sheetFormatPr defaultRowHeight="13.2" x14ac:dyDescent="0.25"/>
  <cols>
    <col min="1" max="1" width="58.6640625" customWidth="1"/>
    <col min="2" max="2" width="15.6640625" customWidth="1"/>
    <col min="3" max="4" width="13.88671875" customWidth="1"/>
    <col min="5" max="5" width="13.44140625" customWidth="1"/>
    <col min="6" max="6" width="14.44140625" customWidth="1"/>
    <col min="7" max="8" width="14.33203125" customWidth="1"/>
    <col min="9" max="9" width="14.5546875" customWidth="1"/>
    <col min="10" max="13" width="13.88671875" customWidth="1"/>
    <col min="14" max="14" width="18" customWidth="1"/>
  </cols>
  <sheetData>
    <row r="1" spans="1:18" ht="20.25" customHeight="1" x14ac:dyDescent="0.35">
      <c r="A1" s="21" t="s">
        <v>46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</row>
    <row r="2" spans="1:18" ht="7.5" customHeight="1" thickBot="1" x14ac:dyDescent="0.3">
      <c r="A2" s="1"/>
      <c r="R2" s="2"/>
    </row>
    <row r="3" spans="1:18" ht="3" hidden="1" customHeight="1" thickBot="1" x14ac:dyDescent="0.3">
      <c r="A3" s="1"/>
    </row>
    <row r="4" spans="1:18" ht="38.25" customHeight="1" thickBot="1" x14ac:dyDescent="0.3">
      <c r="A4" s="5" t="s">
        <v>0</v>
      </c>
      <c r="B4" s="6" t="s">
        <v>31</v>
      </c>
      <c r="C4" s="6" t="s">
        <v>32</v>
      </c>
      <c r="D4" s="6" t="s">
        <v>33</v>
      </c>
      <c r="E4" s="6" t="s">
        <v>34</v>
      </c>
      <c r="F4" s="6" t="s">
        <v>35</v>
      </c>
      <c r="G4" s="6" t="s">
        <v>36</v>
      </c>
      <c r="H4" s="6" t="s">
        <v>37</v>
      </c>
      <c r="I4" s="6" t="s">
        <v>38</v>
      </c>
      <c r="J4" s="6" t="s">
        <v>39</v>
      </c>
      <c r="K4" s="6" t="s">
        <v>40</v>
      </c>
      <c r="L4" s="6" t="s">
        <v>41</v>
      </c>
      <c r="M4" s="6" t="s">
        <v>42</v>
      </c>
      <c r="N4" s="6" t="s">
        <v>43</v>
      </c>
    </row>
    <row r="5" spans="1:18" ht="23.25" customHeight="1" thickBot="1" x14ac:dyDescent="0.3">
      <c r="A5" s="7" t="s">
        <v>15</v>
      </c>
      <c r="B5" s="8">
        <v>-87180.39</v>
      </c>
      <c r="C5" s="8">
        <f t="shared" ref="C5" si="0">B43</f>
        <v>-63324.821819999983</v>
      </c>
      <c r="D5" s="8">
        <f t="shared" ref="D5" si="1">C43</f>
        <v>-44137.241759999975</v>
      </c>
      <c r="E5" s="8">
        <f t="shared" ref="E5" si="2">D43</f>
        <v>-4960.6504999999743</v>
      </c>
      <c r="F5" s="8">
        <f t="shared" ref="F5" si="3">E43</f>
        <v>38144.747200000042</v>
      </c>
      <c r="G5" s="8">
        <f t="shared" ref="G5" si="4">F43</f>
        <v>60979.176860000051</v>
      </c>
      <c r="H5" s="8">
        <f t="shared" ref="H5" si="5">G43</f>
        <v>99572.859560000055</v>
      </c>
      <c r="I5" s="8">
        <f t="shared" ref="I5" si="6">H43</f>
        <v>-3561.2114799999545</v>
      </c>
      <c r="J5" s="8">
        <f t="shared" ref="J5" si="7">I43</f>
        <v>-111052.23837999995</v>
      </c>
      <c r="K5" s="8">
        <f t="shared" ref="K5" si="8">J43</f>
        <v>-68889.15075999996</v>
      </c>
      <c r="L5" s="8">
        <f t="shared" ref="L5" si="9">K43</f>
        <v>-187498.95790000001</v>
      </c>
      <c r="M5" s="8">
        <f t="shared" ref="M5" si="10">L43</f>
        <v>-155679.20300000004</v>
      </c>
      <c r="N5" s="8">
        <f>B5</f>
        <v>-87180.39</v>
      </c>
    </row>
    <row r="6" spans="1:18" ht="21" customHeight="1" thickBot="1" x14ac:dyDescent="0.3">
      <c r="A6" s="7" t="s">
        <v>13</v>
      </c>
      <c r="B6" s="8">
        <v>-231988.2</v>
      </c>
      <c r="C6" s="8">
        <f t="shared" ref="C6:M6" si="11">B45</f>
        <v>-240586.02</v>
      </c>
      <c r="D6" s="8">
        <f t="shared" si="11"/>
        <v>-251472.42999999996</v>
      </c>
      <c r="E6" s="8">
        <f t="shared" si="11"/>
        <v>-236164.33999999997</v>
      </c>
      <c r="F6" s="8">
        <f t="shared" si="11"/>
        <v>-232264.68999999994</v>
      </c>
      <c r="G6" s="8">
        <f t="shared" si="11"/>
        <v>-239135.73999999993</v>
      </c>
      <c r="H6" s="8">
        <f t="shared" si="11"/>
        <v>-239694.62999999992</v>
      </c>
      <c r="I6" s="8">
        <f t="shared" si="11"/>
        <v>-251067.30999999991</v>
      </c>
      <c r="J6" s="8">
        <f t="shared" si="11"/>
        <v>-268489.23999999987</v>
      </c>
      <c r="K6" s="8">
        <f t="shared" si="11"/>
        <v>-264076.46999999986</v>
      </c>
      <c r="L6" s="8">
        <f t="shared" si="11"/>
        <v>-286766.47999999986</v>
      </c>
      <c r="M6" s="8">
        <f t="shared" si="11"/>
        <v>-285769.30999999988</v>
      </c>
      <c r="N6" s="8">
        <f>B6</f>
        <v>-231988.2</v>
      </c>
    </row>
    <row r="7" spans="1:18" ht="20.25" customHeight="1" thickBot="1" x14ac:dyDescent="0.3">
      <c r="A7" s="9" t="s">
        <v>12</v>
      </c>
      <c r="B7" s="10">
        <f>SUM(B8:B14)</f>
        <v>135643.13999999998</v>
      </c>
      <c r="C7" s="10">
        <f>SUM(C8:C14)</f>
        <v>138275.03999999998</v>
      </c>
      <c r="D7" s="10">
        <f>SUM(D8:D14)</f>
        <v>143584.28999999998</v>
      </c>
      <c r="E7" s="10">
        <f t="shared" ref="E7:M7" si="12">SUM(E8:E14)</f>
        <v>139901.29999999999</v>
      </c>
      <c r="F7" s="10">
        <f t="shared" si="12"/>
        <v>132019.13999999998</v>
      </c>
      <c r="G7" s="10">
        <f t="shared" si="12"/>
        <v>149639</v>
      </c>
      <c r="H7" s="10">
        <f t="shared" si="12"/>
        <v>151010.74</v>
      </c>
      <c r="I7" s="10">
        <f t="shared" si="12"/>
        <v>156797.04999999999</v>
      </c>
      <c r="J7" s="10">
        <f t="shared" si="12"/>
        <v>153109.63</v>
      </c>
      <c r="K7" s="10">
        <f t="shared" si="12"/>
        <v>158776.74</v>
      </c>
      <c r="L7" s="10">
        <f t="shared" si="12"/>
        <v>153417.5</v>
      </c>
      <c r="M7" s="10">
        <f t="shared" si="12"/>
        <v>153751.13</v>
      </c>
      <c r="N7" s="10">
        <f>SUM(B7:M7)</f>
        <v>1765924.7000000002</v>
      </c>
    </row>
    <row r="8" spans="1:18" ht="24.75" customHeight="1" thickBot="1" x14ac:dyDescent="0.3">
      <c r="A8" s="4" t="s">
        <v>27</v>
      </c>
      <c r="B8" s="11">
        <v>98403.65</v>
      </c>
      <c r="C8" s="11">
        <v>98403.65</v>
      </c>
      <c r="D8" s="11">
        <v>98403.65</v>
      </c>
      <c r="E8" s="11">
        <v>98403.65</v>
      </c>
      <c r="F8" s="11">
        <v>98403.65</v>
      </c>
      <c r="G8" s="11">
        <v>116023.51</v>
      </c>
      <c r="H8" s="11">
        <v>116023.51</v>
      </c>
      <c r="I8" s="11">
        <v>116023.51</v>
      </c>
      <c r="J8" s="11">
        <v>116023.51</v>
      </c>
      <c r="K8" s="11">
        <v>116023.51</v>
      </c>
      <c r="L8" s="11">
        <v>116023.51</v>
      </c>
      <c r="M8" s="11">
        <v>116023.5</v>
      </c>
      <c r="N8" s="11">
        <f>SUM(B8:M8)</f>
        <v>1304182.81</v>
      </c>
    </row>
    <row r="9" spans="1:18" ht="24.75" customHeight="1" thickBot="1" x14ac:dyDescent="0.3">
      <c r="A9" s="4" t="s">
        <v>16</v>
      </c>
      <c r="B9" s="11">
        <v>0</v>
      </c>
      <c r="C9" s="11">
        <v>0</v>
      </c>
      <c r="D9" s="11">
        <v>0</v>
      </c>
      <c r="E9" s="11">
        <v>0</v>
      </c>
      <c r="F9" s="11">
        <v>0</v>
      </c>
      <c r="G9" s="11">
        <v>0</v>
      </c>
      <c r="H9" s="11">
        <v>0</v>
      </c>
      <c r="I9" s="11">
        <v>0</v>
      </c>
      <c r="J9" s="11">
        <v>0</v>
      </c>
      <c r="K9" s="11">
        <v>0</v>
      </c>
      <c r="L9" s="11">
        <v>0</v>
      </c>
      <c r="M9" s="11">
        <v>0</v>
      </c>
      <c r="N9" s="11">
        <f t="shared" ref="N9:N14" si="13">SUM(B9:M9)</f>
        <v>0</v>
      </c>
    </row>
    <row r="10" spans="1:18" ht="21.75" customHeight="1" thickBot="1" x14ac:dyDescent="0.3">
      <c r="A10" s="4" t="s">
        <v>17</v>
      </c>
      <c r="B10" s="11">
        <v>360.01</v>
      </c>
      <c r="C10" s="11">
        <v>360.01</v>
      </c>
      <c r="D10" s="11">
        <v>360.01</v>
      </c>
      <c r="E10" s="11">
        <v>360.01</v>
      </c>
      <c r="F10" s="11">
        <v>360.01</v>
      </c>
      <c r="G10" s="11">
        <v>360.01</v>
      </c>
      <c r="H10" s="11">
        <v>467.89</v>
      </c>
      <c r="I10" s="11">
        <v>467.89</v>
      </c>
      <c r="J10" s="11">
        <v>467.89</v>
      </c>
      <c r="K10" s="11">
        <v>467.89</v>
      </c>
      <c r="L10" s="11">
        <v>467.89</v>
      </c>
      <c r="M10" s="11">
        <v>467.89</v>
      </c>
      <c r="N10" s="11">
        <f t="shared" si="13"/>
        <v>4967.3999999999996</v>
      </c>
    </row>
    <row r="11" spans="1:18" ht="22.5" customHeight="1" thickBot="1" x14ac:dyDescent="0.3">
      <c r="A11" s="4" t="s">
        <v>18</v>
      </c>
      <c r="B11" s="11">
        <v>3624</v>
      </c>
      <c r="C11" s="11">
        <v>6255.9</v>
      </c>
      <c r="D11" s="11">
        <v>11565.15</v>
      </c>
      <c r="E11" s="11">
        <v>7882.16</v>
      </c>
      <c r="F11" s="11">
        <v>0</v>
      </c>
      <c r="G11" s="11">
        <v>0</v>
      </c>
      <c r="H11" s="11">
        <v>1263.8599999999999</v>
      </c>
      <c r="I11" s="11">
        <v>7012.55</v>
      </c>
      <c r="J11" s="11">
        <v>3325.13</v>
      </c>
      <c r="K11" s="11">
        <v>9292.24</v>
      </c>
      <c r="L11" s="11">
        <v>3933</v>
      </c>
      <c r="M11" s="11">
        <v>4266.6499999999996</v>
      </c>
      <c r="N11" s="11">
        <f t="shared" si="13"/>
        <v>58420.639999999999</v>
      </c>
    </row>
    <row r="12" spans="1:18" ht="22.5" customHeight="1" thickBot="1" x14ac:dyDescent="0.3">
      <c r="A12" s="4" t="s">
        <v>26</v>
      </c>
      <c r="B12" s="11">
        <v>363.15</v>
      </c>
      <c r="C12" s="11">
        <v>363.15</v>
      </c>
      <c r="D12" s="11">
        <v>363.15</v>
      </c>
      <c r="E12" s="11">
        <v>363.15</v>
      </c>
      <c r="F12" s="11">
        <v>363.15</v>
      </c>
      <c r="G12" s="11">
        <v>363.15</v>
      </c>
      <c r="H12" s="11">
        <v>363.15</v>
      </c>
      <c r="I12" s="11">
        <v>400.77</v>
      </c>
      <c r="J12" s="11">
        <v>400.77</v>
      </c>
      <c r="K12" s="11">
        <v>400.77</v>
      </c>
      <c r="L12" s="11">
        <v>400.77</v>
      </c>
      <c r="M12" s="11">
        <v>400.77</v>
      </c>
      <c r="N12" s="11">
        <f t="shared" si="13"/>
        <v>4545.8999999999996</v>
      </c>
    </row>
    <row r="13" spans="1:18" ht="22.5" customHeight="1" thickBot="1" x14ac:dyDescent="0.3">
      <c r="A13" s="4" t="s">
        <v>29</v>
      </c>
      <c r="B13" s="11">
        <v>8842.33</v>
      </c>
      <c r="C13" s="11">
        <v>8842.33</v>
      </c>
      <c r="D13" s="11">
        <v>8842.33</v>
      </c>
      <c r="E13" s="11">
        <v>8842.33</v>
      </c>
      <c r="F13" s="11">
        <v>8842.33</v>
      </c>
      <c r="G13" s="11">
        <v>8842.33</v>
      </c>
      <c r="H13" s="11">
        <v>8842.33</v>
      </c>
      <c r="I13" s="11">
        <v>8842.33</v>
      </c>
      <c r="J13" s="11">
        <v>8842.33</v>
      </c>
      <c r="K13" s="11">
        <v>8842.33</v>
      </c>
      <c r="L13" s="11">
        <v>8842.33</v>
      </c>
      <c r="M13" s="11">
        <v>8842.32</v>
      </c>
      <c r="N13" s="11">
        <f t="shared" si="13"/>
        <v>106107.95000000001</v>
      </c>
    </row>
    <row r="14" spans="1:18" ht="24" customHeight="1" thickBot="1" x14ac:dyDescent="0.3">
      <c r="A14" s="4" t="s">
        <v>14</v>
      </c>
      <c r="B14" s="11">
        <f>24350-300</f>
        <v>24050</v>
      </c>
      <c r="C14" s="11">
        <f>24350-300</f>
        <v>24050</v>
      </c>
      <c r="D14" s="11">
        <f t="shared" ref="D14:G14" si="14">24350-300</f>
        <v>24050</v>
      </c>
      <c r="E14" s="11">
        <f t="shared" si="14"/>
        <v>24050</v>
      </c>
      <c r="F14" s="11">
        <f t="shared" si="14"/>
        <v>24050</v>
      </c>
      <c r="G14" s="11">
        <f t="shared" si="14"/>
        <v>24050</v>
      </c>
      <c r="H14" s="11">
        <v>24050</v>
      </c>
      <c r="I14" s="11">
        <v>24050</v>
      </c>
      <c r="J14" s="11">
        <v>24050</v>
      </c>
      <c r="K14" s="11">
        <v>23750</v>
      </c>
      <c r="L14" s="11">
        <v>23750</v>
      </c>
      <c r="M14" s="11">
        <v>23750</v>
      </c>
      <c r="N14" s="11">
        <f t="shared" si="13"/>
        <v>287700</v>
      </c>
    </row>
    <row r="15" spans="1:18" ht="20.25" customHeight="1" thickBot="1" x14ac:dyDescent="0.3">
      <c r="A15" s="12" t="s">
        <v>8</v>
      </c>
      <c r="B15" s="13">
        <f>SUM(B16:B22)</f>
        <v>127045.32</v>
      </c>
      <c r="C15" s="13">
        <f>SUM(C16:C22)</f>
        <v>127388.63</v>
      </c>
      <c r="D15" s="13">
        <f>SUM(D16:D22)</f>
        <v>143631.24</v>
      </c>
      <c r="E15" s="13">
        <f t="shared" ref="E15:M15" si="15">SUM(E16:E22)</f>
        <v>143800.95000000001</v>
      </c>
      <c r="F15" s="13">
        <f t="shared" si="15"/>
        <v>125148.09000000001</v>
      </c>
      <c r="G15" s="13">
        <f t="shared" si="15"/>
        <v>149080.11000000002</v>
      </c>
      <c r="H15" s="13">
        <f t="shared" si="15"/>
        <v>139638.06</v>
      </c>
      <c r="I15" s="13">
        <f t="shared" si="15"/>
        <v>139375.12</v>
      </c>
      <c r="J15" s="13">
        <f t="shared" si="15"/>
        <v>157522.4</v>
      </c>
      <c r="K15" s="13">
        <f t="shared" si="15"/>
        <v>136086.72999999998</v>
      </c>
      <c r="L15" s="13">
        <f t="shared" si="15"/>
        <v>154414.66999999998</v>
      </c>
      <c r="M15" s="13">
        <f t="shared" si="15"/>
        <v>143151.32</v>
      </c>
      <c r="N15" s="13">
        <f>SUM(B15:M15)</f>
        <v>1686282.64</v>
      </c>
    </row>
    <row r="16" spans="1:18" ht="24" customHeight="1" thickBot="1" x14ac:dyDescent="0.3">
      <c r="A16" s="4" t="s">
        <v>27</v>
      </c>
      <c r="B16" s="11">
        <v>91919.21</v>
      </c>
      <c r="C16" s="11">
        <v>91421.22</v>
      </c>
      <c r="D16" s="11">
        <v>103306.97</v>
      </c>
      <c r="E16" s="11">
        <v>99718.66</v>
      </c>
      <c r="F16" s="11">
        <v>86236.75</v>
      </c>
      <c r="G16" s="11">
        <v>113646.94</v>
      </c>
      <c r="H16" s="11">
        <v>107633.37</v>
      </c>
      <c r="I16" s="11">
        <v>105759.16</v>
      </c>
      <c r="J16" s="11">
        <v>115659.13</v>
      </c>
      <c r="K16" s="11">
        <v>101425.58</v>
      </c>
      <c r="L16" s="11">
        <v>112465.8</v>
      </c>
      <c r="M16" s="11">
        <v>106952.03</v>
      </c>
      <c r="N16" s="11">
        <f>SUM(B16:M16)</f>
        <v>1236144.82</v>
      </c>
    </row>
    <row r="17" spans="1:16" ht="26.25" customHeight="1" thickBot="1" x14ac:dyDescent="0.3">
      <c r="A17" s="4" t="s">
        <v>16</v>
      </c>
      <c r="B17" s="11">
        <v>7.94</v>
      </c>
      <c r="C17" s="11">
        <v>8.16</v>
      </c>
      <c r="D17" s="11">
        <v>83.48</v>
      </c>
      <c r="E17" s="11">
        <v>5.44</v>
      </c>
      <c r="F17" s="11">
        <v>4.7300000000000004</v>
      </c>
      <c r="G17" s="11">
        <v>4.74</v>
      </c>
      <c r="H17" s="11">
        <v>5.4</v>
      </c>
      <c r="I17" s="11">
        <v>5.35</v>
      </c>
      <c r="J17" s="11">
        <v>5.47</v>
      </c>
      <c r="K17" s="11">
        <v>4.6399999999999997</v>
      </c>
      <c r="L17" s="11">
        <v>0</v>
      </c>
      <c r="M17" s="11">
        <v>0</v>
      </c>
      <c r="N17" s="11">
        <f t="shared" ref="N17:N21" si="16">SUM(B17:M17)</f>
        <v>135.35</v>
      </c>
    </row>
    <row r="18" spans="1:16" ht="26.25" customHeight="1" thickBot="1" x14ac:dyDescent="0.3">
      <c r="A18" s="4" t="s">
        <v>17</v>
      </c>
      <c r="B18" s="11">
        <v>336.39</v>
      </c>
      <c r="C18" s="11">
        <v>335.77</v>
      </c>
      <c r="D18" s="11">
        <v>376.16</v>
      </c>
      <c r="E18" s="11">
        <v>364.2</v>
      </c>
      <c r="F18" s="11">
        <v>315.62</v>
      </c>
      <c r="G18" s="11">
        <v>415.3</v>
      </c>
      <c r="H18" s="11">
        <v>335.07</v>
      </c>
      <c r="I18" s="11">
        <v>425.85</v>
      </c>
      <c r="J18" s="11">
        <v>461.62</v>
      </c>
      <c r="K18" s="11">
        <v>401.62</v>
      </c>
      <c r="L18" s="11">
        <v>453.54</v>
      </c>
      <c r="M18" s="11">
        <v>430.79</v>
      </c>
      <c r="N18" s="11">
        <f t="shared" si="16"/>
        <v>4651.93</v>
      </c>
    </row>
    <row r="19" spans="1:16" ht="24" customHeight="1" thickBot="1" x14ac:dyDescent="0.3">
      <c r="A19" s="4" t="s">
        <v>18</v>
      </c>
      <c r="B19" s="11">
        <v>2938.62</v>
      </c>
      <c r="C19" s="11">
        <v>3405.31</v>
      </c>
      <c r="D19" s="11">
        <v>6519.87</v>
      </c>
      <c r="E19" s="11">
        <v>10835.96</v>
      </c>
      <c r="F19" s="11">
        <v>6920.93</v>
      </c>
      <c r="G19" s="11">
        <v>1554.81</v>
      </c>
      <c r="H19" s="11">
        <v>57.53</v>
      </c>
      <c r="I19" s="11">
        <v>1188.02</v>
      </c>
      <c r="J19" s="11">
        <v>6498.15</v>
      </c>
      <c r="K19" s="11">
        <v>2823.28</v>
      </c>
      <c r="L19" s="11">
        <v>8585.01</v>
      </c>
      <c r="M19" s="11">
        <v>3693.83</v>
      </c>
      <c r="N19" s="11">
        <f t="shared" si="16"/>
        <v>55021.32</v>
      </c>
    </row>
    <row r="20" spans="1:16" ht="24" customHeight="1" thickBot="1" x14ac:dyDescent="0.3">
      <c r="A20" s="4" t="s">
        <v>26</v>
      </c>
      <c r="B20" s="11">
        <v>18.100000000000001</v>
      </c>
      <c r="C20" s="11">
        <v>5.44</v>
      </c>
      <c r="D20" s="11">
        <v>89.11</v>
      </c>
      <c r="E20" s="11">
        <v>39.01</v>
      </c>
      <c r="F20" s="11">
        <v>5.6</v>
      </c>
      <c r="G20" s="11">
        <v>48.21</v>
      </c>
      <c r="H20" s="11">
        <v>20.170000000000002</v>
      </c>
      <c r="I20" s="11">
        <v>85.7</v>
      </c>
      <c r="J20" s="11">
        <v>383.66</v>
      </c>
      <c r="K20" s="11">
        <v>340.2</v>
      </c>
      <c r="L20" s="11">
        <v>386.43</v>
      </c>
      <c r="M20" s="11">
        <v>369.02</v>
      </c>
      <c r="N20" s="11">
        <f t="shared" si="16"/>
        <v>1790.65</v>
      </c>
    </row>
    <row r="21" spans="1:16" ht="24" customHeight="1" thickBot="1" x14ac:dyDescent="0.3">
      <c r="A21" s="4" t="s">
        <v>29</v>
      </c>
      <c r="B21" s="11">
        <v>8225.06</v>
      </c>
      <c r="C21" s="11">
        <v>8162.73</v>
      </c>
      <c r="D21" s="11">
        <v>9655.65</v>
      </c>
      <c r="E21" s="11">
        <v>9237.68</v>
      </c>
      <c r="F21" s="11">
        <v>7614.46</v>
      </c>
      <c r="G21" s="11">
        <v>9810.11</v>
      </c>
      <c r="H21" s="11">
        <v>7986.52</v>
      </c>
      <c r="I21" s="11">
        <v>7861.04</v>
      </c>
      <c r="J21" s="11">
        <v>8814.3700000000008</v>
      </c>
      <c r="K21" s="11">
        <v>7491.41</v>
      </c>
      <c r="L21" s="11">
        <v>8473.89</v>
      </c>
      <c r="M21" s="11">
        <v>8105.65</v>
      </c>
      <c r="N21" s="11">
        <f t="shared" si="16"/>
        <v>101438.56999999999</v>
      </c>
    </row>
    <row r="22" spans="1:16" ht="21" customHeight="1" thickBot="1" x14ac:dyDescent="0.3">
      <c r="A22" s="4" t="s">
        <v>14</v>
      </c>
      <c r="B22" s="14">
        <f>23900-300</f>
        <v>23600</v>
      </c>
      <c r="C22" s="14">
        <f>24350-300</f>
        <v>24050</v>
      </c>
      <c r="D22" s="14">
        <f>23900-300</f>
        <v>23600</v>
      </c>
      <c r="E22" s="14">
        <f>23900-300</f>
        <v>23600</v>
      </c>
      <c r="F22" s="14">
        <f>24350-300</f>
        <v>24050</v>
      </c>
      <c r="G22" s="14">
        <f>23900-300</f>
        <v>23600</v>
      </c>
      <c r="H22" s="11">
        <v>23600</v>
      </c>
      <c r="I22" s="11">
        <v>24050</v>
      </c>
      <c r="J22" s="11">
        <v>25700</v>
      </c>
      <c r="K22" s="11">
        <v>23600</v>
      </c>
      <c r="L22" s="11">
        <v>24050</v>
      </c>
      <c r="M22" s="11">
        <v>23600</v>
      </c>
      <c r="N22" s="11">
        <f>SUM(B22:M22)</f>
        <v>287100</v>
      </c>
      <c r="O22" s="3"/>
    </row>
    <row r="23" spans="1:16" ht="21.75" customHeight="1" thickBot="1" x14ac:dyDescent="0.3">
      <c r="A23" s="15" t="s">
        <v>23</v>
      </c>
      <c r="B23" s="16"/>
      <c r="C23" s="16"/>
      <c r="D23" s="16"/>
      <c r="E23" s="16"/>
      <c r="F23" s="16"/>
      <c r="G23" s="16"/>
      <c r="H23" s="16"/>
      <c r="I23" s="16"/>
      <c r="J23" s="16"/>
      <c r="K23" s="16"/>
      <c r="L23" s="16"/>
      <c r="M23" s="16"/>
      <c r="N23" s="17"/>
    </row>
    <row r="24" spans="1:16" ht="19.5" customHeight="1" thickBot="1" x14ac:dyDescent="0.3">
      <c r="A24" s="4" t="s">
        <v>1</v>
      </c>
      <c r="B24" s="11">
        <f>3933*0.6</f>
        <v>2359.7999999999997</v>
      </c>
      <c r="C24" s="11">
        <f t="shared" ref="C24:M24" si="17">3933*0.6</f>
        <v>2359.7999999999997</v>
      </c>
      <c r="D24" s="11">
        <f t="shared" si="17"/>
        <v>2359.7999999999997</v>
      </c>
      <c r="E24" s="11">
        <f t="shared" si="17"/>
        <v>2359.7999999999997</v>
      </c>
      <c r="F24" s="11">
        <f t="shared" si="17"/>
        <v>2359.7999999999997</v>
      </c>
      <c r="G24" s="11">
        <f t="shared" si="17"/>
        <v>2359.7999999999997</v>
      </c>
      <c r="H24" s="11">
        <f t="shared" si="17"/>
        <v>2359.7999999999997</v>
      </c>
      <c r="I24" s="11">
        <f t="shared" si="17"/>
        <v>2359.7999999999997</v>
      </c>
      <c r="J24" s="11">
        <f t="shared" si="17"/>
        <v>2359.7999999999997</v>
      </c>
      <c r="K24" s="11">
        <f t="shared" si="17"/>
        <v>2359.7999999999997</v>
      </c>
      <c r="L24" s="11">
        <f t="shared" si="17"/>
        <v>2359.7999999999997</v>
      </c>
      <c r="M24" s="11">
        <f t="shared" si="17"/>
        <v>2359.7999999999997</v>
      </c>
      <c r="N24" s="11">
        <f t="shared" ref="N24:N40" si="18">SUM(B24:M24)</f>
        <v>28317.599999999995</v>
      </c>
    </row>
    <row r="25" spans="1:16" ht="22.5" customHeight="1" thickBot="1" x14ac:dyDescent="0.3">
      <c r="A25" s="4" t="s">
        <v>2</v>
      </c>
      <c r="B25" s="11">
        <f>3933*0.17</f>
        <v>668.61</v>
      </c>
      <c r="C25" s="11">
        <f>3933*0.2</f>
        <v>786.6</v>
      </c>
      <c r="D25" s="11">
        <f>3933*0.2</f>
        <v>786.6</v>
      </c>
      <c r="E25" s="11">
        <f t="shared" ref="E25:M25" si="19">3933*0.2</f>
        <v>786.6</v>
      </c>
      <c r="F25" s="11">
        <f t="shared" si="19"/>
        <v>786.6</v>
      </c>
      <c r="G25" s="11">
        <f t="shared" si="19"/>
        <v>786.6</v>
      </c>
      <c r="H25" s="11">
        <f t="shared" si="19"/>
        <v>786.6</v>
      </c>
      <c r="I25" s="11">
        <f t="shared" si="19"/>
        <v>786.6</v>
      </c>
      <c r="J25" s="11">
        <f t="shared" si="19"/>
        <v>786.6</v>
      </c>
      <c r="K25" s="11">
        <f t="shared" si="19"/>
        <v>786.6</v>
      </c>
      <c r="L25" s="11">
        <f t="shared" si="19"/>
        <v>786.6</v>
      </c>
      <c r="M25" s="11">
        <f t="shared" si="19"/>
        <v>786.6</v>
      </c>
      <c r="N25" s="11">
        <f t="shared" si="18"/>
        <v>9321.2100000000009</v>
      </c>
    </row>
    <row r="26" spans="1:16" ht="21" customHeight="1" thickBot="1" x14ac:dyDescent="0.3">
      <c r="A26" s="4" t="s">
        <v>3</v>
      </c>
      <c r="B26" s="11">
        <f>111593.14*2.3%</f>
        <v>2566.6422199999997</v>
      </c>
      <c r="C26" s="11">
        <f>114225.04*2.6%</f>
        <v>2969.85104</v>
      </c>
      <c r="D26" s="11">
        <f>119534.29*2.6%</f>
        <v>3107.8915400000001</v>
      </c>
      <c r="E26" s="11">
        <f>115851.3*2.6%</f>
        <v>3012.1338000000005</v>
      </c>
      <c r="F26" s="11">
        <f>107969.14*2.6%</f>
        <v>2807.1976400000003</v>
      </c>
      <c r="G26" s="11">
        <f>125589*2.6%</f>
        <v>3265.3140000000003</v>
      </c>
      <c r="H26" s="11">
        <f>126960.74*2.6%</f>
        <v>3300.9792400000006</v>
      </c>
      <c r="I26" s="11">
        <f>132747.05*2.6%</f>
        <v>3451.4232999999999</v>
      </c>
      <c r="J26" s="11">
        <f>129059.63*2.6%</f>
        <v>3355.5503800000006</v>
      </c>
      <c r="K26" s="11">
        <f>135026.74*2.6%</f>
        <v>3510.69524</v>
      </c>
      <c r="L26" s="11">
        <f>129667.5*2.6%</f>
        <v>3371.3550000000005</v>
      </c>
      <c r="M26" s="11">
        <f>130001.13*2.6%</f>
        <v>3380.0293800000004</v>
      </c>
      <c r="N26" s="11">
        <f t="shared" si="18"/>
        <v>38099.06278</v>
      </c>
    </row>
    <row r="27" spans="1:16" ht="23.25" customHeight="1" thickBot="1" x14ac:dyDescent="0.3">
      <c r="A27" s="4" t="s">
        <v>4</v>
      </c>
      <c r="B27" s="11">
        <f>103445.32*3%</f>
        <v>3103.3596000000002</v>
      </c>
      <c r="C27" s="11">
        <f>103338.63*3%</f>
        <v>3100.1588999999999</v>
      </c>
      <c r="D27" s="11">
        <f>120031.24*3%</f>
        <v>3600.9371999999998</v>
      </c>
      <c r="E27" s="11">
        <f>120200.95*3%</f>
        <v>3606.0284999999999</v>
      </c>
      <c r="F27" s="11">
        <f>101098.09*3%</f>
        <v>3032.9426999999996</v>
      </c>
      <c r="G27" s="11">
        <f>125480.11*3%</f>
        <v>3764.4032999999999</v>
      </c>
      <c r="H27" s="11">
        <f>116038.06*3%</f>
        <v>3481.1417999999999</v>
      </c>
      <c r="I27" s="11">
        <f>115325.12*3%</f>
        <v>3459.7535999999996</v>
      </c>
      <c r="J27" s="11">
        <f>131822.4*3%</f>
        <v>3954.6719999999996</v>
      </c>
      <c r="K27" s="11">
        <f>112486.73*3%</f>
        <v>3374.6018999999997</v>
      </c>
      <c r="L27" s="11">
        <f>130364.67*3%</f>
        <v>3910.9400999999998</v>
      </c>
      <c r="M27" s="11">
        <f>119551.32*3%</f>
        <v>3586.5396000000001</v>
      </c>
      <c r="N27" s="11">
        <f t="shared" si="18"/>
        <v>41975.479200000002</v>
      </c>
    </row>
    <row r="28" spans="1:16" ht="23.25" customHeight="1" thickBot="1" x14ac:dyDescent="0.3">
      <c r="A28" s="4" t="s">
        <v>9</v>
      </c>
      <c r="B28" s="20">
        <f>3933*10.8</f>
        <v>42476.4</v>
      </c>
      <c r="C28" s="20">
        <f t="shared" ref="C28:M28" si="20">3933*10.8</f>
        <v>42476.4</v>
      </c>
      <c r="D28" s="20">
        <f t="shared" si="20"/>
        <v>42476.4</v>
      </c>
      <c r="E28" s="20">
        <f t="shared" si="20"/>
        <v>42476.4</v>
      </c>
      <c r="F28" s="20">
        <f t="shared" si="20"/>
        <v>42476.4</v>
      </c>
      <c r="G28" s="20">
        <f t="shared" si="20"/>
        <v>42476.4</v>
      </c>
      <c r="H28" s="20">
        <f t="shared" si="20"/>
        <v>42476.4</v>
      </c>
      <c r="I28" s="20">
        <f t="shared" si="20"/>
        <v>42476.4</v>
      </c>
      <c r="J28" s="20">
        <f t="shared" si="20"/>
        <v>42476.4</v>
      </c>
      <c r="K28" s="20">
        <f t="shared" si="20"/>
        <v>42476.4</v>
      </c>
      <c r="L28" s="20">
        <f t="shared" si="20"/>
        <v>42476.4</v>
      </c>
      <c r="M28" s="20">
        <f t="shared" si="20"/>
        <v>42476.4</v>
      </c>
      <c r="N28" s="11">
        <f t="shared" si="18"/>
        <v>509716.8000000001</v>
      </c>
    </row>
    <row r="29" spans="1:16" ht="26.25" customHeight="1" thickBot="1" x14ac:dyDescent="0.3">
      <c r="A29" s="4" t="s">
        <v>19</v>
      </c>
      <c r="B29" s="11">
        <v>0</v>
      </c>
      <c r="C29" s="11">
        <v>0</v>
      </c>
      <c r="D29" s="11">
        <v>0</v>
      </c>
      <c r="E29" s="11">
        <v>0</v>
      </c>
      <c r="F29" s="11">
        <v>0</v>
      </c>
      <c r="G29" s="11">
        <v>0</v>
      </c>
      <c r="H29" s="11">
        <v>0</v>
      </c>
      <c r="I29" s="11">
        <v>0</v>
      </c>
      <c r="J29" s="11">
        <v>0</v>
      </c>
      <c r="K29" s="11">
        <v>0</v>
      </c>
      <c r="L29" s="11">
        <v>0</v>
      </c>
      <c r="M29" s="11">
        <v>0</v>
      </c>
      <c r="N29" s="11">
        <f t="shared" si="18"/>
        <v>0</v>
      </c>
      <c r="P29" t="s">
        <v>47</v>
      </c>
    </row>
    <row r="30" spans="1:16" ht="26.25" customHeight="1" thickBot="1" x14ac:dyDescent="0.3">
      <c r="A30" s="4" t="s">
        <v>20</v>
      </c>
      <c r="B30" s="11">
        <v>540.02</v>
      </c>
      <c r="C30" s="11">
        <v>540.02</v>
      </c>
      <c r="D30" s="11">
        <v>540.02</v>
      </c>
      <c r="E30" s="11">
        <v>540.02</v>
      </c>
      <c r="F30" s="11">
        <v>540.02</v>
      </c>
      <c r="G30" s="11">
        <v>540.02</v>
      </c>
      <c r="H30" s="11">
        <v>702.05</v>
      </c>
      <c r="I30" s="11">
        <v>702.05</v>
      </c>
      <c r="J30" s="11">
        <v>702.05</v>
      </c>
      <c r="K30" s="11">
        <v>702.05</v>
      </c>
      <c r="L30" s="11">
        <v>702.05</v>
      </c>
      <c r="M30" s="11">
        <v>702.05</v>
      </c>
      <c r="N30" s="11">
        <f t="shared" si="18"/>
        <v>7452.420000000001</v>
      </c>
    </row>
    <row r="31" spans="1:16" ht="26.25" customHeight="1" thickBot="1" x14ac:dyDescent="0.3">
      <c r="A31" s="4" t="s">
        <v>21</v>
      </c>
      <c r="B31" s="11">
        <v>6255.93</v>
      </c>
      <c r="C31" s="11">
        <v>11565.09</v>
      </c>
      <c r="D31" s="11">
        <v>7882.2</v>
      </c>
      <c r="E31" s="11">
        <v>0</v>
      </c>
      <c r="F31" s="11">
        <v>0</v>
      </c>
      <c r="G31" s="11">
        <v>1263.8699999999999</v>
      </c>
      <c r="H31" s="11">
        <v>7012.5</v>
      </c>
      <c r="I31" s="11">
        <v>3325.2</v>
      </c>
      <c r="J31" s="11">
        <v>9292.2000000000007</v>
      </c>
      <c r="K31" s="11">
        <v>3933.12</v>
      </c>
      <c r="L31" s="11">
        <v>4266.66</v>
      </c>
      <c r="M31" s="11">
        <v>7691.82</v>
      </c>
      <c r="N31" s="11">
        <f t="shared" si="18"/>
        <v>62488.589999999989</v>
      </c>
    </row>
    <row r="32" spans="1:16" ht="26.25" customHeight="1" thickBot="1" x14ac:dyDescent="0.3">
      <c r="A32" s="4" t="s">
        <v>26</v>
      </c>
      <c r="B32" s="11">
        <f>363.23+0</f>
        <v>363.23</v>
      </c>
      <c r="C32" s="11">
        <f t="shared" ref="C32:G32" si="21">363.23+0</f>
        <v>363.23</v>
      </c>
      <c r="D32" s="11">
        <f t="shared" si="21"/>
        <v>363.23</v>
      </c>
      <c r="E32" s="11">
        <f t="shared" si="21"/>
        <v>363.23</v>
      </c>
      <c r="F32" s="11">
        <f t="shared" si="21"/>
        <v>363.23</v>
      </c>
      <c r="G32" s="11">
        <f t="shared" si="21"/>
        <v>363.23</v>
      </c>
      <c r="H32" s="11">
        <f>400.87+0</f>
        <v>400.87</v>
      </c>
      <c r="I32" s="11">
        <f t="shared" ref="I32:M32" si="22">400.87+0</f>
        <v>400.87</v>
      </c>
      <c r="J32" s="11">
        <f t="shared" si="22"/>
        <v>400.87</v>
      </c>
      <c r="K32" s="11">
        <f t="shared" si="22"/>
        <v>400.87</v>
      </c>
      <c r="L32" s="11">
        <f t="shared" si="22"/>
        <v>400.87</v>
      </c>
      <c r="M32" s="11">
        <f t="shared" si="22"/>
        <v>400.87</v>
      </c>
      <c r="N32" s="11">
        <f t="shared" si="18"/>
        <v>4584.5999999999995</v>
      </c>
    </row>
    <row r="33" spans="1:14" ht="22.5" customHeight="1" thickBot="1" x14ac:dyDescent="0.3">
      <c r="A33" s="4" t="s">
        <v>6</v>
      </c>
      <c r="B33" s="20">
        <f>3933*3.75+4640</f>
        <v>19388.75</v>
      </c>
      <c r="C33" s="20">
        <f t="shared" ref="C33:F33" si="23">3933*3.75+4640</f>
        <v>19388.75</v>
      </c>
      <c r="D33" s="20">
        <f t="shared" si="23"/>
        <v>19388.75</v>
      </c>
      <c r="E33" s="20">
        <f t="shared" si="23"/>
        <v>19388.75</v>
      </c>
      <c r="F33" s="20">
        <f t="shared" si="23"/>
        <v>19388.75</v>
      </c>
      <c r="G33" s="20">
        <f>3933*4.43+4640</f>
        <v>22063.19</v>
      </c>
      <c r="H33" s="20">
        <f t="shared" ref="H33:M33" si="24">3933*4.43+4640</f>
        <v>22063.19</v>
      </c>
      <c r="I33" s="20">
        <f t="shared" si="24"/>
        <v>22063.19</v>
      </c>
      <c r="J33" s="20">
        <f t="shared" si="24"/>
        <v>22063.19</v>
      </c>
      <c r="K33" s="20">
        <f t="shared" si="24"/>
        <v>22063.19</v>
      </c>
      <c r="L33" s="20">
        <f t="shared" si="24"/>
        <v>22063.19</v>
      </c>
      <c r="M33" s="20">
        <f t="shared" si="24"/>
        <v>22063.19</v>
      </c>
      <c r="N33" s="11">
        <f t="shared" si="18"/>
        <v>251386.08000000002</v>
      </c>
    </row>
    <row r="34" spans="1:14" ht="24" customHeight="1" thickBot="1" x14ac:dyDescent="0.3">
      <c r="A34" s="4" t="s">
        <v>28</v>
      </c>
      <c r="B34" s="11">
        <v>0</v>
      </c>
      <c r="C34" s="11">
        <v>0</v>
      </c>
      <c r="D34" s="11">
        <v>0</v>
      </c>
      <c r="E34" s="11">
        <v>0</v>
      </c>
      <c r="F34" s="11">
        <v>0</v>
      </c>
      <c r="G34" s="11">
        <v>0</v>
      </c>
      <c r="H34" s="11">
        <v>7800</v>
      </c>
      <c r="I34" s="11">
        <v>0</v>
      </c>
      <c r="J34" s="11">
        <v>0</v>
      </c>
      <c r="K34" s="11">
        <v>0</v>
      </c>
      <c r="L34" s="11">
        <v>0</v>
      </c>
      <c r="M34" s="11">
        <v>0</v>
      </c>
      <c r="N34" s="11">
        <f t="shared" si="18"/>
        <v>7800</v>
      </c>
    </row>
    <row r="35" spans="1:14" ht="24.75" customHeight="1" thickBot="1" x14ac:dyDescent="0.3">
      <c r="A35" s="4" t="s">
        <v>25</v>
      </c>
      <c r="B35" s="11">
        <f t="shared" ref="B35:D35" si="25">7288.05+7288.04</f>
        <v>14576.09</v>
      </c>
      <c r="C35" s="11">
        <f t="shared" si="25"/>
        <v>14576.09</v>
      </c>
      <c r="D35" s="11">
        <f t="shared" si="25"/>
        <v>14576.09</v>
      </c>
      <c r="E35" s="11">
        <f>8753.47*2</f>
        <v>17506.939999999999</v>
      </c>
      <c r="F35" s="11">
        <f>8753.47*2</f>
        <v>17506.939999999999</v>
      </c>
      <c r="G35" s="11">
        <f>8753.47*2</f>
        <v>17506.939999999999</v>
      </c>
      <c r="H35" s="11">
        <f t="shared" ref="H35:M35" si="26">8753.47*2</f>
        <v>17506.939999999999</v>
      </c>
      <c r="I35" s="11">
        <f t="shared" si="26"/>
        <v>17506.939999999999</v>
      </c>
      <c r="J35" s="11">
        <f t="shared" si="26"/>
        <v>17506.939999999999</v>
      </c>
      <c r="K35" s="11">
        <f t="shared" si="26"/>
        <v>17506.939999999999</v>
      </c>
      <c r="L35" s="11">
        <f t="shared" si="26"/>
        <v>17506.939999999999</v>
      </c>
      <c r="M35" s="11">
        <f t="shared" si="26"/>
        <v>17506.939999999999</v>
      </c>
      <c r="N35" s="11">
        <f t="shared" si="18"/>
        <v>201290.73</v>
      </c>
    </row>
    <row r="36" spans="1:14" ht="24.75" customHeight="1" thickBot="1" x14ac:dyDescent="0.3">
      <c r="A36" s="4" t="s">
        <v>45</v>
      </c>
      <c r="B36" s="11">
        <v>0</v>
      </c>
      <c r="C36" s="11">
        <v>0</v>
      </c>
      <c r="D36" s="11">
        <v>0</v>
      </c>
      <c r="E36" s="11">
        <v>0</v>
      </c>
      <c r="F36" s="11">
        <v>0</v>
      </c>
      <c r="G36" s="11">
        <v>3600</v>
      </c>
      <c r="H36" s="11">
        <v>3600</v>
      </c>
      <c r="I36" s="11">
        <v>3600</v>
      </c>
      <c r="J36" s="11">
        <v>3600</v>
      </c>
      <c r="K36" s="11">
        <v>3600</v>
      </c>
      <c r="L36" s="11">
        <v>3600</v>
      </c>
      <c r="M36" s="11">
        <v>3600</v>
      </c>
      <c r="N36" s="11">
        <f t="shared" si="18"/>
        <v>25200</v>
      </c>
    </row>
    <row r="37" spans="1:14" ht="21.75" customHeight="1" thickBot="1" x14ac:dyDescent="0.3">
      <c r="A37" s="4" t="s">
        <v>29</v>
      </c>
      <c r="B37" s="11">
        <v>8604.92</v>
      </c>
      <c r="C37" s="11">
        <v>7156.06</v>
      </c>
      <c r="D37" s="11">
        <v>7101.73</v>
      </c>
      <c r="E37" s="11">
        <v>8400.65</v>
      </c>
      <c r="F37" s="11">
        <v>8036.68</v>
      </c>
      <c r="G37" s="11">
        <v>6624.46</v>
      </c>
      <c r="H37" s="11">
        <v>8535.11</v>
      </c>
      <c r="I37" s="11">
        <v>6948.52</v>
      </c>
      <c r="J37" s="11">
        <v>6839.04</v>
      </c>
      <c r="K37" s="11">
        <v>7668.37</v>
      </c>
      <c r="L37" s="11">
        <v>6517.41</v>
      </c>
      <c r="M37" s="11">
        <v>7371.89</v>
      </c>
      <c r="N37" s="11">
        <f t="shared" si="18"/>
        <v>89804.84</v>
      </c>
    </row>
    <row r="38" spans="1:14" ht="21.75" customHeight="1" thickBot="1" x14ac:dyDescent="0.3">
      <c r="A38" s="4" t="s">
        <v>30</v>
      </c>
      <c r="B38" s="11">
        <v>1286</v>
      </c>
      <c r="C38" s="11">
        <v>1069</v>
      </c>
      <c r="D38" s="11">
        <v>1061</v>
      </c>
      <c r="E38" s="11">
        <v>1255</v>
      </c>
      <c r="F38" s="11">
        <v>1201</v>
      </c>
      <c r="G38" s="11">
        <v>990</v>
      </c>
      <c r="H38" s="11">
        <v>1275</v>
      </c>
      <c r="I38" s="11">
        <v>1038</v>
      </c>
      <c r="J38" s="11">
        <v>1022</v>
      </c>
      <c r="K38" s="11">
        <v>1146</v>
      </c>
      <c r="L38" s="11">
        <v>974</v>
      </c>
      <c r="M38" s="11">
        <v>1102</v>
      </c>
      <c r="N38" s="11">
        <f t="shared" si="18"/>
        <v>13419</v>
      </c>
    </row>
    <row r="39" spans="1:14" ht="24.75" customHeight="1" thickBot="1" x14ac:dyDescent="0.3">
      <c r="A39" s="4" t="s">
        <v>24</v>
      </c>
      <c r="B39" s="11">
        <v>1000</v>
      </c>
      <c r="C39" s="11">
        <v>1000</v>
      </c>
      <c r="D39" s="11">
        <v>1000</v>
      </c>
      <c r="E39" s="11">
        <v>1000</v>
      </c>
      <c r="F39" s="11">
        <v>1000</v>
      </c>
      <c r="G39" s="11">
        <v>1000</v>
      </c>
      <c r="H39" s="11">
        <v>1000</v>
      </c>
      <c r="I39" s="11">
        <v>1000</v>
      </c>
      <c r="J39" s="11">
        <v>1000</v>
      </c>
      <c r="K39" s="11">
        <v>1000</v>
      </c>
      <c r="L39" s="11">
        <v>1000</v>
      </c>
      <c r="M39" s="11">
        <v>1000</v>
      </c>
      <c r="N39" s="11">
        <f t="shared" si="18"/>
        <v>12000</v>
      </c>
    </row>
    <row r="40" spans="1:14" ht="24" customHeight="1" thickBot="1" x14ac:dyDescent="0.3">
      <c r="A40" s="4" t="s">
        <v>10</v>
      </c>
      <c r="B40" s="11">
        <v>0</v>
      </c>
      <c r="C40" s="11">
        <f>850</f>
        <v>850</v>
      </c>
      <c r="D40" s="11">
        <f>210</f>
        <v>210</v>
      </c>
      <c r="E40" s="11">
        <v>0</v>
      </c>
      <c r="F40" s="11">
        <f>2814.1</f>
        <v>2814.1</v>
      </c>
      <c r="G40" s="11">
        <f>1373.8+1508.4+1000</f>
        <v>3882.2</v>
      </c>
      <c r="H40" s="11">
        <f>1031.4+1668.3+5505.6+111616.25+650</f>
        <v>120471.55</v>
      </c>
      <c r="I40" s="11">
        <f>118750+15839.5+1508.3+1649.6</f>
        <v>137747.4</v>
      </c>
      <c r="J40" s="11">
        <v>0</v>
      </c>
      <c r="K40" s="11">
        <f>1478.6+2905.6+139783.7</f>
        <v>144167.90000000002</v>
      </c>
      <c r="L40" s="11">
        <f>2500+145+10013.7</f>
        <v>12658.7</v>
      </c>
      <c r="M40" s="11">
        <f>32832+11187.3+10277.2+15000</f>
        <v>69296.5</v>
      </c>
      <c r="N40" s="11">
        <f t="shared" si="18"/>
        <v>492098.35000000003</v>
      </c>
    </row>
    <row r="41" spans="1:14" ht="22.5" customHeight="1" thickBot="1" x14ac:dyDescent="0.3">
      <c r="A41" s="9" t="s">
        <v>22</v>
      </c>
      <c r="B41" s="10">
        <f t="shared" ref="B41:M41" si="27">SUM(B24:B40)</f>
        <v>103189.75181999999</v>
      </c>
      <c r="C41" s="10">
        <f t="shared" si="27"/>
        <v>108201.04994</v>
      </c>
      <c r="D41" s="10">
        <f t="shared" si="27"/>
        <v>104454.64873999999</v>
      </c>
      <c r="E41" s="10">
        <f t="shared" si="27"/>
        <v>100695.5523</v>
      </c>
      <c r="F41" s="10">
        <f t="shared" si="27"/>
        <v>102313.66034</v>
      </c>
      <c r="G41" s="10">
        <f t="shared" si="27"/>
        <v>110486.42730000001</v>
      </c>
      <c r="H41" s="10">
        <f t="shared" si="27"/>
        <v>242772.13104000001</v>
      </c>
      <c r="I41" s="10">
        <f t="shared" si="27"/>
        <v>246866.14689999999</v>
      </c>
      <c r="J41" s="10">
        <f t="shared" si="27"/>
        <v>115359.31238</v>
      </c>
      <c r="K41" s="10">
        <f t="shared" si="27"/>
        <v>254696.53714000003</v>
      </c>
      <c r="L41" s="10">
        <f t="shared" si="27"/>
        <v>122594.91510000001</v>
      </c>
      <c r="M41" s="10">
        <f t="shared" si="27"/>
        <v>183324.62898000001</v>
      </c>
      <c r="N41" s="10">
        <f>SUM(B41:M41)</f>
        <v>1794954.7619800002</v>
      </c>
    </row>
    <row r="42" spans="1:14" ht="23.25" customHeight="1" thickBot="1" x14ac:dyDescent="0.3">
      <c r="A42" s="4" t="s">
        <v>5</v>
      </c>
      <c r="B42" s="18">
        <f t="shared" ref="B42:N42" si="28">B15-B41</f>
        <v>23855.568180000017</v>
      </c>
      <c r="C42" s="18">
        <f t="shared" si="28"/>
        <v>19187.580060000008</v>
      </c>
      <c r="D42" s="18">
        <f t="shared" si="28"/>
        <v>39176.591260000001</v>
      </c>
      <c r="E42" s="18">
        <f t="shared" si="28"/>
        <v>43105.397700000016</v>
      </c>
      <c r="F42" s="18">
        <f t="shared" si="28"/>
        <v>22834.429660000009</v>
      </c>
      <c r="G42" s="18">
        <f t="shared" si="28"/>
        <v>38593.682700000005</v>
      </c>
      <c r="H42" s="18">
        <f t="shared" si="28"/>
        <v>-103134.07104000001</v>
      </c>
      <c r="I42" s="18">
        <f t="shared" si="28"/>
        <v>-107491.0269</v>
      </c>
      <c r="J42" s="18">
        <f t="shared" si="28"/>
        <v>42163.087619999991</v>
      </c>
      <c r="K42" s="18">
        <f t="shared" si="28"/>
        <v>-118609.80714000005</v>
      </c>
      <c r="L42" s="18">
        <f t="shared" si="28"/>
        <v>31819.754899999971</v>
      </c>
      <c r="M42" s="18">
        <f t="shared" si="28"/>
        <v>-40173.308980000002</v>
      </c>
      <c r="N42" s="11">
        <f t="shared" si="28"/>
        <v>-108672.12198000029</v>
      </c>
    </row>
    <row r="43" spans="1:14" ht="23.25" customHeight="1" thickBot="1" x14ac:dyDescent="0.3">
      <c r="A43" s="4" t="s">
        <v>7</v>
      </c>
      <c r="B43" s="14">
        <f t="shared" ref="B43:N43" si="29">B5+B42</f>
        <v>-63324.821819999983</v>
      </c>
      <c r="C43" s="14">
        <f t="shared" si="29"/>
        <v>-44137.241759999975</v>
      </c>
      <c r="D43" s="14">
        <f t="shared" si="29"/>
        <v>-4960.6504999999743</v>
      </c>
      <c r="E43" s="14">
        <f t="shared" si="29"/>
        <v>38144.747200000042</v>
      </c>
      <c r="F43" s="14">
        <f t="shared" si="29"/>
        <v>60979.176860000051</v>
      </c>
      <c r="G43" s="14">
        <f t="shared" si="29"/>
        <v>99572.859560000055</v>
      </c>
      <c r="H43" s="14">
        <f t="shared" si="29"/>
        <v>-3561.2114799999545</v>
      </c>
      <c r="I43" s="14">
        <f t="shared" si="29"/>
        <v>-111052.23837999995</v>
      </c>
      <c r="J43" s="14">
        <f t="shared" si="29"/>
        <v>-68889.15075999996</v>
      </c>
      <c r="K43" s="14">
        <f t="shared" si="29"/>
        <v>-187498.95790000001</v>
      </c>
      <c r="L43" s="14">
        <f t="shared" si="29"/>
        <v>-155679.20300000004</v>
      </c>
      <c r="M43" s="14">
        <f t="shared" si="29"/>
        <v>-195852.51198000004</v>
      </c>
      <c r="N43" s="14">
        <f t="shared" si="29"/>
        <v>-195852.5119800003</v>
      </c>
    </row>
    <row r="44" spans="1:14" ht="23.25" customHeight="1" thickBot="1" x14ac:dyDescent="0.3">
      <c r="A44" s="4" t="s">
        <v>44</v>
      </c>
      <c r="B44" s="11">
        <v>0</v>
      </c>
      <c r="C44" s="11">
        <v>0</v>
      </c>
      <c r="D44" s="11">
        <v>15261.14</v>
      </c>
      <c r="E44" s="11">
        <v>0</v>
      </c>
      <c r="F44" s="11">
        <v>0</v>
      </c>
      <c r="G44" s="11">
        <v>0</v>
      </c>
      <c r="H44" s="11">
        <v>0</v>
      </c>
      <c r="I44" s="11">
        <v>0</v>
      </c>
      <c r="J44" s="11">
        <v>0</v>
      </c>
      <c r="K44" s="11">
        <v>0</v>
      </c>
      <c r="L44" s="11">
        <v>0</v>
      </c>
      <c r="M44" s="11">
        <v>0</v>
      </c>
      <c r="N44" s="11">
        <f>SUM(B44:M44)</f>
        <v>15261.14</v>
      </c>
    </row>
    <row r="45" spans="1:14" ht="27" customHeight="1" thickBot="1" x14ac:dyDescent="0.3">
      <c r="A45" s="15" t="s">
        <v>11</v>
      </c>
      <c r="B45" s="19">
        <f>B6+B15-B7</f>
        <v>-240586.02</v>
      </c>
      <c r="C45" s="19">
        <f t="shared" ref="C45" si="30">C6+C15-C7</f>
        <v>-251472.42999999996</v>
      </c>
      <c r="D45" s="19">
        <f>D6+D15-D7+D44</f>
        <v>-236164.33999999997</v>
      </c>
      <c r="E45" s="19">
        <f t="shared" ref="E45:N45" si="31">E6+E15-E7+E44</f>
        <v>-232264.68999999994</v>
      </c>
      <c r="F45" s="19">
        <f t="shared" si="31"/>
        <v>-239135.73999999993</v>
      </c>
      <c r="G45" s="19">
        <f t="shared" si="31"/>
        <v>-239694.62999999992</v>
      </c>
      <c r="H45" s="19">
        <f t="shared" si="31"/>
        <v>-251067.30999999991</v>
      </c>
      <c r="I45" s="19">
        <f t="shared" si="31"/>
        <v>-268489.23999999987</v>
      </c>
      <c r="J45" s="19">
        <f t="shared" si="31"/>
        <v>-264076.46999999986</v>
      </c>
      <c r="K45" s="19">
        <f t="shared" si="31"/>
        <v>-286766.47999999986</v>
      </c>
      <c r="L45" s="19">
        <f t="shared" si="31"/>
        <v>-285769.30999999988</v>
      </c>
      <c r="M45" s="19">
        <f t="shared" si="31"/>
        <v>-296369.11999999988</v>
      </c>
      <c r="N45" s="19">
        <f t="shared" si="31"/>
        <v>-296369.12000000023</v>
      </c>
    </row>
  </sheetData>
  <mergeCells count="1">
    <mergeCell ref="A1:N1"/>
  </mergeCells>
  <phoneticPr fontId="3" type="noConversion"/>
  <pageMargins left="0.19685039370078741" right="0.19685039370078741" top="0.19685039370078741" bottom="0.19685039370078741" header="0.51181102362204722" footer="0.51181102362204722"/>
  <pageSetup paperSize="9" scale="55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2025</vt:lpstr>
    </vt:vector>
  </TitlesOfParts>
  <Company>Организация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2026-02-18T02:46:20Z</cp:lastPrinted>
  <dcterms:created xsi:type="dcterms:W3CDTF">2011-06-06T03:25:48Z</dcterms:created>
  <dcterms:modified xsi:type="dcterms:W3CDTF">2026-02-18T02:57:18Z</dcterms:modified>
</cp:coreProperties>
</file>