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19" i="1" l="1"/>
  <c r="M11" i="1"/>
  <c r="K22" i="1" l="1"/>
  <c r="L22" i="1"/>
  <c r="M22" i="1"/>
  <c r="K14" i="1"/>
  <c r="L14" i="1"/>
  <c r="M14" i="1"/>
  <c r="M38" i="1" l="1"/>
  <c r="L38" i="1" l="1"/>
  <c r="M27" i="1" l="1"/>
  <c r="M26" i="1"/>
  <c r="L27" i="1" l="1"/>
  <c r="L26" i="1"/>
  <c r="K27" i="1" l="1"/>
  <c r="K26" i="1"/>
  <c r="K33" i="1" l="1"/>
  <c r="L33" i="1"/>
  <c r="M33" i="1"/>
  <c r="K28" i="1"/>
  <c r="L28" i="1"/>
  <c r="M28" i="1"/>
  <c r="K25" i="1"/>
  <c r="L25" i="1"/>
  <c r="M25" i="1"/>
  <c r="K24" i="1"/>
  <c r="L24" i="1"/>
  <c r="M24" i="1"/>
  <c r="I11" i="1" l="1"/>
  <c r="I22" i="1" l="1"/>
  <c r="J22" i="1"/>
  <c r="I14" i="1"/>
  <c r="J14" i="1"/>
  <c r="H22" i="1"/>
  <c r="H14" i="1"/>
  <c r="G22" i="1" l="1"/>
  <c r="C22" i="1"/>
  <c r="D22" i="1"/>
  <c r="E22" i="1"/>
  <c r="F22" i="1"/>
  <c r="B22" i="1"/>
  <c r="G14" i="1"/>
  <c r="C14" i="1"/>
  <c r="D14" i="1"/>
  <c r="E14" i="1"/>
  <c r="F14" i="1"/>
  <c r="B14" i="1"/>
  <c r="J27" i="1" l="1"/>
  <c r="J26" i="1"/>
  <c r="I27" i="1" l="1"/>
  <c r="I26" i="1"/>
  <c r="H38" i="1" l="1"/>
  <c r="H27" i="1" l="1"/>
  <c r="H26" i="1"/>
  <c r="H33" i="1"/>
  <c r="I33" i="1"/>
  <c r="J33" i="1"/>
  <c r="H28" i="1"/>
  <c r="I28" i="1"/>
  <c r="J28" i="1"/>
  <c r="H25" i="1"/>
  <c r="I25" i="1"/>
  <c r="J25" i="1"/>
  <c r="H24" i="1"/>
  <c r="I24" i="1"/>
  <c r="J24" i="1"/>
  <c r="E11" i="1" l="1"/>
  <c r="E29" i="1" l="1"/>
  <c r="F29" i="1"/>
  <c r="G29" i="1"/>
  <c r="G27" i="1" l="1"/>
  <c r="G26" i="1"/>
  <c r="F27" i="1" l="1"/>
  <c r="F26" i="1"/>
  <c r="G33" i="1" l="1"/>
  <c r="E27" i="1" l="1"/>
  <c r="E26" i="1"/>
  <c r="E33" i="1" l="1"/>
  <c r="F33" i="1"/>
  <c r="E28" i="1"/>
  <c r="F28" i="1"/>
  <c r="G28" i="1"/>
  <c r="E25" i="1"/>
  <c r="F25" i="1"/>
  <c r="G25" i="1"/>
  <c r="G24" i="1"/>
  <c r="E24" i="1"/>
  <c r="F24" i="1"/>
  <c r="D19" i="1" l="1"/>
  <c r="D11" i="1"/>
  <c r="C19" i="1"/>
  <c r="C11" i="1"/>
  <c r="B19" i="1"/>
  <c r="B11" i="1"/>
  <c r="N36" i="1" l="1"/>
  <c r="C29" i="1" l="1"/>
  <c r="D29" i="1"/>
  <c r="B29" i="1"/>
  <c r="C38" i="1" l="1"/>
  <c r="B38" i="1" l="1"/>
  <c r="D38" i="1" l="1"/>
  <c r="C28" i="1" l="1"/>
  <c r="D28" i="1"/>
  <c r="B28" i="1"/>
  <c r="D26" i="1"/>
  <c r="C26" i="1"/>
  <c r="D25" i="1"/>
  <c r="C25" i="1"/>
  <c r="D27" i="1" l="1"/>
  <c r="C27" i="1" l="1"/>
  <c r="B27" i="1" l="1"/>
  <c r="B26" i="1"/>
  <c r="C33" i="1" l="1"/>
  <c r="D33" i="1"/>
  <c r="C24" i="1"/>
  <c r="D24" i="1"/>
  <c r="B33" i="1"/>
  <c r="B25" i="1"/>
  <c r="B24" i="1"/>
  <c r="N35" i="1" l="1"/>
  <c r="G15" i="1" l="1"/>
  <c r="N32" i="1" l="1"/>
  <c r="N33" i="1"/>
  <c r="N34" i="1"/>
  <c r="N37" i="1"/>
  <c r="N28" i="1"/>
  <c r="N25" i="1" l="1"/>
  <c r="N30" i="1"/>
  <c r="N31" i="1"/>
  <c r="N24" i="1"/>
  <c r="N38" i="1" l="1"/>
  <c r="N29" i="1" l="1"/>
  <c r="N27" i="1" l="1"/>
  <c r="N26" i="1"/>
  <c r="N39" i="1" l="1"/>
  <c r="N6" i="1"/>
  <c r="N5" i="1"/>
  <c r="C15" i="1"/>
  <c r="D15" i="1"/>
  <c r="C7" i="1"/>
  <c r="D7" i="1"/>
  <c r="N9" i="1"/>
  <c r="N10" i="1"/>
  <c r="N11" i="1"/>
  <c r="N12" i="1"/>
  <c r="N13" i="1"/>
  <c r="N14" i="1"/>
  <c r="N8" i="1"/>
  <c r="D39" i="1" l="1"/>
  <c r="D40" i="1" s="1"/>
  <c r="C39" i="1"/>
  <c r="C40" i="1" s="1"/>
  <c r="M7" i="1"/>
  <c r="N17" i="1"/>
  <c r="N18" i="1"/>
  <c r="N19" i="1"/>
  <c r="N20" i="1"/>
  <c r="N21" i="1"/>
  <c r="N22" i="1"/>
  <c r="N16" i="1"/>
  <c r="K15" i="1"/>
  <c r="L15" i="1"/>
  <c r="M15" i="1"/>
  <c r="K7" i="1"/>
  <c r="L7" i="1"/>
  <c r="M39" i="1" l="1"/>
  <c r="M40" i="1" s="1"/>
  <c r="L39" i="1"/>
  <c r="L40" i="1" s="1"/>
  <c r="K39" i="1"/>
  <c r="K40" i="1" s="1"/>
  <c r="H15" i="1"/>
  <c r="I15" i="1"/>
  <c r="J15" i="1"/>
  <c r="H7" i="1"/>
  <c r="I7" i="1"/>
  <c r="J7" i="1"/>
  <c r="B7" i="1"/>
  <c r="B15" i="1"/>
  <c r="G7" i="1"/>
  <c r="F7" i="1"/>
  <c r="E7" i="1"/>
  <c r="F15" i="1"/>
  <c r="E15" i="1"/>
  <c r="N15" i="1" l="1"/>
  <c r="N7" i="1"/>
  <c r="G39" i="1"/>
  <c r="G40" i="1" s="1"/>
  <c r="F39" i="1"/>
  <c r="F40" i="1" s="1"/>
  <c r="B39" i="1"/>
  <c r="B40" i="1" s="1"/>
  <c r="B41" i="1" s="1"/>
  <c r="B42" i="1"/>
  <c r="C6" i="1" s="1"/>
  <c r="I39" i="1"/>
  <c r="I40" i="1" s="1"/>
  <c r="J39" i="1"/>
  <c r="J40" i="1" s="1"/>
  <c r="N42" i="1" l="1"/>
  <c r="N40" i="1"/>
  <c r="H39" i="1"/>
  <c r="H40" i="1" s="1"/>
  <c r="C42" i="1"/>
  <c r="D6" i="1" s="1"/>
  <c r="D42" i="1" s="1"/>
  <c r="E6" i="1" s="1"/>
  <c r="E39" i="1"/>
  <c r="N41" i="1" l="1"/>
  <c r="E40" i="1"/>
  <c r="E42" i="1"/>
  <c r="F6" i="1" s="1"/>
  <c r="F42" i="1" s="1"/>
  <c r="G6" i="1" s="1"/>
  <c r="G42" i="1" s="1"/>
  <c r="C5" i="1"/>
  <c r="H6" i="1" l="1"/>
  <c r="H42" i="1" s="1"/>
  <c r="I6" i="1" s="1"/>
  <c r="I42" i="1" s="1"/>
  <c r="C41" i="1"/>
  <c r="D5" i="1" s="1"/>
  <c r="D41" i="1" s="1"/>
  <c r="E5" i="1" s="1"/>
  <c r="E41" i="1" s="1"/>
  <c r="F5" i="1" s="1"/>
  <c r="F41" i="1" s="1"/>
  <c r="G5" i="1" s="1"/>
  <c r="G41" i="1" s="1"/>
  <c r="J6" i="1" l="1"/>
  <c r="J42" i="1" s="1"/>
  <c r="H5" i="1"/>
  <c r="H41" i="1" s="1"/>
  <c r="I5" i="1" s="1"/>
  <c r="I41" i="1" s="1"/>
  <c r="J5" i="1" s="1"/>
  <c r="J41" i="1" s="1"/>
  <c r="K5" i="1" s="1"/>
  <c r="K41" i="1" s="1"/>
  <c r="L5" i="1" s="1"/>
  <c r="L41" i="1" s="1"/>
  <c r="M5" i="1" s="1"/>
  <c r="M41" i="1" s="1"/>
  <c r="K6" i="1" l="1"/>
  <c r="K42" i="1" s="1"/>
  <c r="L6" i="1" l="1"/>
  <c r="L42" i="1" s="1"/>
  <c r="M6" i="1" l="1"/>
  <c r="M42" i="1" s="1"/>
</calcChain>
</file>

<file path=xl/sharedStrings.xml><?xml version="1.0" encoding="utf-8"?>
<sst xmlns="http://schemas.openxmlformats.org/spreadsheetml/2006/main" count="53" uniqueCount="45">
  <si>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</si>
  <si>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</si>
  <si>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</si>
  <si>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</si>
  <si>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</si>
  <si>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</si>
  <si>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</si>
  <si>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</si>
  <si>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</si>
  <si>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</si>
  <si>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</si>
  <si>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</si>
  <si>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</si>
  <si>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</si>
  <si>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</si>
  <si>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</si>
  <si>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</si>
  <si>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</si>
  <si>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</si>
  <si>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</si>
  <si>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</si>
  <si>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</si>
  <si>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</si>
  <si>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</si>
  <si>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</si>
  <si>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</si>
  <si>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</si>
  <si>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Тех.обслуживание общедомовых приборов учета</t>
  </si>
  <si>
    <t>Вознаграждение совета МКД</t>
  </si>
  <si>
    <t>Налоги с вознаграждения совета МКД</t>
  </si>
  <si>
    <t>Январь 2025г.</t>
  </si>
  <si>
    <t>Февраль 2025г</t>
  </si>
  <si>
    <t>Март 2025г</t>
  </si>
  <si>
    <t>Апрель 2025г.</t>
  </si>
  <si>
    <t>Май 2025г.</t>
  </si>
  <si>
    <t>Июнь 2025г.</t>
  </si>
  <si>
    <t>Июль 2025г</t>
  </si>
  <si>
    <t>Август 2025г</t>
  </si>
  <si>
    <t>Сентябрь 2025г</t>
  </si>
  <si>
    <t>Октябрь 2025г.</t>
  </si>
  <si>
    <t>Ноябрь 2025г</t>
  </si>
  <si>
    <t>Декабрь 2025г</t>
  </si>
  <si>
    <t>Всего:                       за  2025г.</t>
  </si>
  <si>
    <t>ЕИРКЦ (ведение счета по кап.ремонту)</t>
  </si>
  <si>
    <t xml:space="preserve">                 ОТЧЕТ по дому Приморская, 3 за период 01.01.2025г. по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</si>
</sst>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topLeftCell="C7" zoomScale="75" workbookViewId="0">
      <selection activeCell="M13" sqref="M13"/>
    </sheetView>
  </sheetViews>
  <sheetFormatPr defaultRowHeight="13.2" x14ac:dyDescent="0.25"/>
  <cols>
    <col min="1" max="1" width="52.88671875" customWidth="1"/>
    <col min="2" max="2" width="16.77734375" customWidth="1"/>
    <col min="3" max="3" width="15.21875" customWidth="1"/>
    <col min="4" max="4" width="15.44140625" customWidth="1"/>
    <col min="5" max="5" width="13.88671875" customWidth="1"/>
    <col min="6" max="6" width="14.21875" customWidth="1"/>
    <col min="7" max="7" width="15" customWidth="1"/>
    <col min="8" max="8" width="14" customWidth="1"/>
    <col min="9" max="10" width="14.109375" customWidth="1"/>
    <col min="11" max="11" width="15.44140625" customWidth="1"/>
    <col min="12" max="12" width="14.21875" customWidth="1"/>
    <col min="13" max="13" width="14.109375" customWidth="1"/>
    <col min="14" max="14" width="14.44140625" customWidth="1"/>
  </cols>
  <sheetData>
    <row r="1" spans="1:18" ht="20.25" customHeight="1" x14ac:dyDescent="0.35">
      <c r="A1" s="20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4" customHeight="1" thickBot="1" x14ac:dyDescent="0.3">
      <c r="A5" s="7" t="s">
        <v>15</v>
      </c>
      <c r="B5" s="8">
        <v>-124680.4</v>
      </c>
      <c r="C5" s="8">
        <f>B41</f>
        <v>-135401.94076</v>
      </c>
      <c r="D5" s="8">
        <f>C41</f>
        <v>-185587.00456000003</v>
      </c>
      <c r="E5" s="8">
        <f t="shared" ref="E5:G5" si="0">D41</f>
        <v>-409401.81354000006</v>
      </c>
      <c r="F5" s="8">
        <f t="shared" si="0"/>
        <v>-399345.55044000008</v>
      </c>
      <c r="G5" s="8">
        <f t="shared" si="0"/>
        <v>-393424.94894000009</v>
      </c>
      <c r="H5" s="8">
        <f t="shared" ref="H5" si="1">G41</f>
        <v>-389862.57688000012</v>
      </c>
      <c r="I5" s="8">
        <f t="shared" ref="I5" si="2">H41</f>
        <v>-476581.07226000016</v>
      </c>
      <c r="J5" s="8">
        <f t="shared" ref="J5" si="3">I41</f>
        <v>-459572.66856000019</v>
      </c>
      <c r="K5" s="8">
        <f t="shared" ref="K5" si="4">J41</f>
        <v>-436944.09502000024</v>
      </c>
      <c r="L5" s="8">
        <f t="shared" ref="L5" si="5">K41</f>
        <v>-408147.88496000023</v>
      </c>
      <c r="M5" s="8">
        <f t="shared" ref="M5" si="6">L41</f>
        <v>-401420.80710000021</v>
      </c>
      <c r="N5" s="8">
        <f>B5</f>
        <v>-124680.4</v>
      </c>
    </row>
    <row r="6" spans="1:18" ht="24" customHeight="1" thickBot="1" x14ac:dyDescent="0.3">
      <c r="A6" s="7" t="s">
        <v>13</v>
      </c>
      <c r="B6" s="8">
        <v>-490727.86</v>
      </c>
      <c r="C6" s="8">
        <f>B42</f>
        <v>-472912.30999999994</v>
      </c>
      <c r="D6" s="8">
        <f>C42</f>
        <v>-503105.58999999991</v>
      </c>
      <c r="E6" s="8">
        <f t="shared" ref="E6:G6" si="7">D42</f>
        <v>-519344.37999999995</v>
      </c>
      <c r="F6" s="8">
        <f t="shared" si="7"/>
        <v>-519761.25999999989</v>
      </c>
      <c r="G6" s="8">
        <f t="shared" si="7"/>
        <v>-531142.72999999986</v>
      </c>
      <c r="H6" s="8">
        <f t="shared" ref="H6:M6" si="8">G42</f>
        <v>-549586.49999999977</v>
      </c>
      <c r="I6" s="8">
        <f t="shared" si="8"/>
        <v>-574995.86999999976</v>
      </c>
      <c r="J6" s="8">
        <f t="shared" si="8"/>
        <v>-588125.94999999972</v>
      </c>
      <c r="K6" s="8">
        <f t="shared" si="8"/>
        <v>-610717.85999999975</v>
      </c>
      <c r="L6" s="8">
        <f t="shared" si="8"/>
        <v>-611298.4299999997</v>
      </c>
      <c r="M6" s="8">
        <f t="shared" si="8"/>
        <v>-638065.57999999961</v>
      </c>
      <c r="N6" s="8">
        <f>B6</f>
        <v>-490727.86</v>
      </c>
    </row>
    <row r="7" spans="1:18" ht="24.6" customHeight="1" thickBot="1" x14ac:dyDescent="0.3">
      <c r="A7" s="9" t="s">
        <v>12</v>
      </c>
      <c r="B7" s="10">
        <f>SUM(B8:B14)</f>
        <v>136473.72</v>
      </c>
      <c r="C7" s="10">
        <f t="shared" ref="C7:D7" si="9">SUM(C8:C14)</f>
        <v>151792.90999999997</v>
      </c>
      <c r="D7" s="10">
        <f t="shared" si="9"/>
        <v>151975.94</v>
      </c>
      <c r="E7" s="10">
        <f>SUM(E8:E14)</f>
        <v>144910.19999999998</v>
      </c>
      <c r="F7" s="10">
        <f>SUM(F8:F14)</f>
        <v>144815.84999999998</v>
      </c>
      <c r="G7" s="10">
        <f>SUM(G8:G14)</f>
        <v>169308.58999999997</v>
      </c>
      <c r="H7" s="10">
        <f t="shared" ref="H7:M7" si="10">SUM(H8:H14)</f>
        <v>183773.33</v>
      </c>
      <c r="I7" s="10">
        <f t="shared" si="10"/>
        <v>172033.69999999998</v>
      </c>
      <c r="J7" s="10">
        <f t="shared" si="10"/>
        <v>176103.46</v>
      </c>
      <c r="K7" s="10">
        <f t="shared" si="10"/>
        <v>167362.09</v>
      </c>
      <c r="L7" s="10">
        <f t="shared" si="10"/>
        <v>185288.69</v>
      </c>
      <c r="M7" s="10">
        <f t="shared" si="10"/>
        <v>185722.06</v>
      </c>
      <c r="N7" s="10">
        <f>SUM(B7:M7)</f>
        <v>1969560.54</v>
      </c>
    </row>
    <row r="8" spans="1:18" ht="24.75" customHeight="1" thickBot="1" x14ac:dyDescent="0.3">
      <c r="A8" s="4" t="s">
        <v>25</v>
      </c>
      <c r="B8" s="11">
        <v>108491.9</v>
      </c>
      <c r="C8" s="11">
        <v>108491.9</v>
      </c>
      <c r="D8" s="11">
        <v>108491.9</v>
      </c>
      <c r="E8" s="11">
        <v>108491.9</v>
      </c>
      <c r="F8" s="11">
        <v>108491.9</v>
      </c>
      <c r="G8" s="11">
        <v>137042.4</v>
      </c>
      <c r="H8" s="11">
        <v>137042.4</v>
      </c>
      <c r="I8" s="11">
        <v>137042.4</v>
      </c>
      <c r="J8" s="11">
        <v>137042.4</v>
      </c>
      <c r="K8" s="11">
        <v>137042.4</v>
      </c>
      <c r="L8" s="11">
        <v>137042.4</v>
      </c>
      <c r="M8" s="11">
        <v>137042.4</v>
      </c>
      <c r="N8" s="11">
        <f>SUM(B8:M8)</f>
        <v>1501756.2999999998</v>
      </c>
    </row>
    <row r="9" spans="1:18" ht="24.75" customHeight="1" thickBot="1" x14ac:dyDescent="0.3">
      <c r="A9" s="4" t="s">
        <v>16</v>
      </c>
      <c r="B9" s="11">
        <v>4936.6099999999997</v>
      </c>
      <c r="C9" s="11">
        <v>4936.6099999999997</v>
      </c>
      <c r="D9" s="11">
        <v>2388.27</v>
      </c>
      <c r="E9" s="11">
        <v>4936.6099999999997</v>
      </c>
      <c r="F9" s="11">
        <v>4936.6099999999997</v>
      </c>
      <c r="G9" s="11">
        <v>4936.6099999999997</v>
      </c>
      <c r="H9" s="11">
        <v>4936.6099999999997</v>
      </c>
      <c r="I9" s="11">
        <v>5639.69</v>
      </c>
      <c r="J9" s="11">
        <v>5639.69</v>
      </c>
      <c r="K9" s="11">
        <v>5639.69</v>
      </c>
      <c r="L9" s="11">
        <v>5639.69</v>
      </c>
      <c r="M9" s="11">
        <v>5639.69</v>
      </c>
      <c r="N9" s="11">
        <f t="shared" ref="N9:N14" si="11">SUM(B9:M9)</f>
        <v>60206.380000000012</v>
      </c>
    </row>
    <row r="10" spans="1:18" ht="21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1"/>
        <v>0</v>
      </c>
    </row>
    <row r="11" spans="1:18" ht="22.5" customHeight="1" thickBot="1" x14ac:dyDescent="0.3">
      <c r="A11" s="4" t="s">
        <v>18</v>
      </c>
      <c r="B11" s="11">
        <f>1137.08+423.3</f>
        <v>1560.3799999999999</v>
      </c>
      <c r="C11" s="11">
        <f>16140.36+739.21</f>
        <v>16879.57</v>
      </c>
      <c r="D11" s="11">
        <f>14287.73+786.16</f>
        <v>15073.89</v>
      </c>
      <c r="E11" s="11">
        <f>9155.21+841.65</f>
        <v>9996.8599999999988</v>
      </c>
      <c r="F11" s="11">
        <v>9902.51</v>
      </c>
      <c r="G11" s="11">
        <v>2844.75</v>
      </c>
      <c r="H11" s="11">
        <v>17114.32</v>
      </c>
      <c r="I11" s="11">
        <f>4299.36+372.25</f>
        <v>4671.6099999999997</v>
      </c>
      <c r="J11" s="11">
        <v>8741.3700000000008</v>
      </c>
      <c r="K11" s="11">
        <v>0</v>
      </c>
      <c r="L11" s="11">
        <v>17926.599999999999</v>
      </c>
      <c r="M11" s="11">
        <f>17645.97+714</f>
        <v>18359.97</v>
      </c>
      <c r="N11" s="11">
        <f t="shared" si="11"/>
        <v>123071.82999999999</v>
      </c>
    </row>
    <row r="12" spans="1:18" ht="22.5" customHeight="1" thickBot="1" x14ac:dyDescent="0.3">
      <c r="A12" s="4" t="s">
        <v>24</v>
      </c>
      <c r="B12" s="11">
        <v>1882.43</v>
      </c>
      <c r="C12" s="11">
        <v>1882.43</v>
      </c>
      <c r="D12" s="11">
        <v>6419.48</v>
      </c>
      <c r="E12" s="11">
        <v>1882.43</v>
      </c>
      <c r="F12" s="11">
        <v>1882.43</v>
      </c>
      <c r="G12" s="11">
        <v>1882.43</v>
      </c>
      <c r="H12" s="11">
        <v>2077.6</v>
      </c>
      <c r="I12" s="11">
        <v>2077.6</v>
      </c>
      <c r="J12" s="11">
        <v>2077.6</v>
      </c>
      <c r="K12" s="11">
        <v>2077.6</v>
      </c>
      <c r="L12" s="11">
        <v>2077.6</v>
      </c>
      <c r="M12" s="11">
        <v>2077.6</v>
      </c>
      <c r="N12" s="11">
        <f t="shared" si="11"/>
        <v>28297.229999999992</v>
      </c>
    </row>
    <row r="13" spans="1:18" ht="22.5" customHeight="1" thickBot="1" x14ac:dyDescent="0.3">
      <c r="A13" s="4" t="s">
        <v>28</v>
      </c>
      <c r="B13" s="11">
        <v>18902.400000000001</v>
      </c>
      <c r="C13" s="11">
        <v>18902.400000000001</v>
      </c>
      <c r="D13" s="11">
        <v>18902.400000000001</v>
      </c>
      <c r="E13" s="11">
        <v>18902.400000000001</v>
      </c>
      <c r="F13" s="11">
        <v>18902.400000000001</v>
      </c>
      <c r="G13" s="11">
        <v>18902.400000000001</v>
      </c>
      <c r="H13" s="11">
        <v>18902.400000000001</v>
      </c>
      <c r="I13" s="11">
        <v>18902.400000000001</v>
      </c>
      <c r="J13" s="11">
        <v>18902.400000000001</v>
      </c>
      <c r="K13" s="11">
        <v>18902.400000000001</v>
      </c>
      <c r="L13" s="11">
        <v>18902.400000000001</v>
      </c>
      <c r="M13" s="11">
        <v>18902.400000000001</v>
      </c>
      <c r="N13" s="11">
        <f t="shared" si="11"/>
        <v>226828.79999999996</v>
      </c>
    </row>
    <row r="14" spans="1:18" ht="39" customHeight="1" thickBot="1" x14ac:dyDescent="0.3">
      <c r="A14" s="4" t="s">
        <v>14</v>
      </c>
      <c r="B14" s="11">
        <f>1000-300</f>
        <v>700</v>
      </c>
      <c r="C14" s="11">
        <f t="shared" ref="C14:F14" si="12">1000-300</f>
        <v>700</v>
      </c>
      <c r="D14" s="11">
        <f t="shared" si="12"/>
        <v>700</v>
      </c>
      <c r="E14" s="11">
        <f t="shared" si="12"/>
        <v>700</v>
      </c>
      <c r="F14" s="11">
        <f t="shared" si="12"/>
        <v>700</v>
      </c>
      <c r="G14" s="11">
        <f>1000+3000-300</f>
        <v>3700</v>
      </c>
      <c r="H14" s="11">
        <f>3000+700</f>
        <v>3700</v>
      </c>
      <c r="I14" s="11">
        <f t="shared" ref="I14:M14" si="13">3000+700</f>
        <v>3700</v>
      </c>
      <c r="J14" s="11">
        <f t="shared" si="13"/>
        <v>3700</v>
      </c>
      <c r="K14" s="11">
        <f t="shared" si="13"/>
        <v>3700</v>
      </c>
      <c r="L14" s="11">
        <f t="shared" si="13"/>
        <v>3700</v>
      </c>
      <c r="M14" s="11">
        <f t="shared" si="13"/>
        <v>3700</v>
      </c>
      <c r="N14" s="11">
        <f t="shared" si="11"/>
        <v>29400</v>
      </c>
    </row>
    <row r="15" spans="1:18" ht="20.25" customHeight="1" thickBot="1" x14ac:dyDescent="0.3">
      <c r="A15" s="12" t="s">
        <v>8</v>
      </c>
      <c r="B15" s="13">
        <f>SUM(B16:B22)</f>
        <v>154289.26999999999</v>
      </c>
      <c r="C15" s="13">
        <f t="shared" ref="C15:D15" si="14">SUM(C16:C22)</f>
        <v>121599.63</v>
      </c>
      <c r="D15" s="13">
        <f t="shared" si="14"/>
        <v>135737.14999999997</v>
      </c>
      <c r="E15" s="13">
        <f>SUM(E16:E22)</f>
        <v>144493.32</v>
      </c>
      <c r="F15" s="13">
        <f>SUM(F16:F22)</f>
        <v>133434.38</v>
      </c>
      <c r="G15" s="13">
        <f>SUM(G16:G22)</f>
        <v>150864.82</v>
      </c>
      <c r="H15" s="13">
        <f t="shared" ref="H15:M15" si="15">SUM(H16:H22)</f>
        <v>158363.96</v>
      </c>
      <c r="I15" s="13">
        <f t="shared" si="15"/>
        <v>158903.62</v>
      </c>
      <c r="J15" s="13">
        <f t="shared" si="15"/>
        <v>153511.54999999999</v>
      </c>
      <c r="K15" s="13">
        <f t="shared" si="15"/>
        <v>166781.52000000002</v>
      </c>
      <c r="L15" s="13">
        <f t="shared" si="15"/>
        <v>158521.54</v>
      </c>
      <c r="M15" s="13">
        <f t="shared" si="15"/>
        <v>167256.15</v>
      </c>
      <c r="N15" s="13">
        <f>SUM(B15:M15)</f>
        <v>1803756.91</v>
      </c>
    </row>
    <row r="16" spans="1:18" ht="24" customHeight="1" thickBot="1" x14ac:dyDescent="0.3">
      <c r="A16" s="4" t="s">
        <v>26</v>
      </c>
      <c r="B16" s="11">
        <v>123563.92</v>
      </c>
      <c r="C16" s="11">
        <v>100426.84</v>
      </c>
      <c r="D16" s="11">
        <v>101601.78</v>
      </c>
      <c r="E16" s="11">
        <v>107656.92</v>
      </c>
      <c r="F16" s="11">
        <v>103392.39</v>
      </c>
      <c r="G16" s="11">
        <v>115090.14</v>
      </c>
      <c r="H16" s="11">
        <v>128796.79</v>
      </c>
      <c r="I16" s="11">
        <v>120974.34</v>
      </c>
      <c r="J16" s="11">
        <v>126499.73</v>
      </c>
      <c r="K16" s="11">
        <v>133420.19</v>
      </c>
      <c r="L16" s="11">
        <v>132644.53</v>
      </c>
      <c r="M16" s="11">
        <v>127087.84</v>
      </c>
      <c r="N16" s="11">
        <f>SUM(B16:M16)</f>
        <v>1421155.4100000001</v>
      </c>
    </row>
    <row r="17" spans="1:15" ht="26.25" customHeight="1" thickBot="1" x14ac:dyDescent="0.3">
      <c r="A17" s="4" t="s">
        <v>16</v>
      </c>
      <c r="B17" s="11">
        <v>551.09</v>
      </c>
      <c r="C17" s="11">
        <v>181.78</v>
      </c>
      <c r="D17" s="11">
        <v>347.23</v>
      </c>
      <c r="E17" s="11">
        <v>528.03</v>
      </c>
      <c r="F17" s="11">
        <v>194.14</v>
      </c>
      <c r="G17" s="11">
        <v>788.11</v>
      </c>
      <c r="H17" s="11">
        <v>427.01</v>
      </c>
      <c r="I17" s="11">
        <v>18.07</v>
      </c>
      <c r="J17" s="11">
        <v>294.55</v>
      </c>
      <c r="K17" s="11">
        <v>320.97000000000003</v>
      </c>
      <c r="L17" s="11">
        <v>470.44</v>
      </c>
      <c r="M17" s="11">
        <v>298.57</v>
      </c>
      <c r="N17" s="11">
        <f t="shared" ref="N17:N22" si="16">SUM(B17:M17)</f>
        <v>4419.99</v>
      </c>
    </row>
    <row r="18" spans="1:15" ht="26.25" customHeight="1" thickBot="1" x14ac:dyDescent="0.3">
      <c r="A18" s="4" t="s">
        <v>17</v>
      </c>
      <c r="B18" s="11">
        <v>27.34</v>
      </c>
      <c r="C18" s="11">
        <v>8.6</v>
      </c>
      <c r="D18" s="11">
        <v>17.93</v>
      </c>
      <c r="E18" s="11">
        <v>27.05</v>
      </c>
      <c r="F18" s="11">
        <v>9.1</v>
      </c>
      <c r="G18" s="11">
        <v>26.65</v>
      </c>
      <c r="H18" s="11">
        <v>12.87</v>
      </c>
      <c r="I18" s="11">
        <v>0</v>
      </c>
      <c r="J18" s="11">
        <v>9.11</v>
      </c>
      <c r="K18" s="11">
        <v>7.38</v>
      </c>
      <c r="L18" s="11">
        <v>9.99</v>
      </c>
      <c r="M18" s="11">
        <v>2.0699999999999998</v>
      </c>
      <c r="N18" s="11">
        <f t="shared" si="16"/>
        <v>158.08999999999997</v>
      </c>
    </row>
    <row r="19" spans="1:15" ht="24" customHeight="1" thickBot="1" x14ac:dyDescent="0.3">
      <c r="A19" s="4" t="s">
        <v>18</v>
      </c>
      <c r="B19" s="11">
        <f>10778.33+423.3</f>
        <v>11201.63</v>
      </c>
      <c r="C19" s="11">
        <f>1783.62+739.21</f>
        <v>2522.83</v>
      </c>
      <c r="D19" s="11">
        <f>14199.29+786.16</f>
        <v>14985.45</v>
      </c>
      <c r="E19" s="11">
        <v>13694.54</v>
      </c>
      <c r="F19" s="11">
        <v>9000.67</v>
      </c>
      <c r="G19" s="11">
        <v>10304.49</v>
      </c>
      <c r="H19" s="11">
        <v>3569.35</v>
      </c>
      <c r="I19" s="11">
        <v>14570.92</v>
      </c>
      <c r="J19" s="11">
        <v>4624.47</v>
      </c>
      <c r="K19" s="11">
        <v>8510.17</v>
      </c>
      <c r="L19" s="11">
        <v>1831.89</v>
      </c>
      <c r="M19" s="11">
        <f>15189.3+714</f>
        <v>15903.3</v>
      </c>
      <c r="N19" s="11">
        <f t="shared" si="16"/>
        <v>110719.70999999999</v>
      </c>
    </row>
    <row r="20" spans="1:15" ht="24" customHeight="1" thickBot="1" x14ac:dyDescent="0.3">
      <c r="A20" s="4" t="s">
        <v>24</v>
      </c>
      <c r="B20" s="11">
        <v>592.25</v>
      </c>
      <c r="C20" s="11">
        <v>296.91000000000003</v>
      </c>
      <c r="D20" s="11">
        <v>517.98</v>
      </c>
      <c r="E20" s="11">
        <v>3873.2</v>
      </c>
      <c r="F20" s="11">
        <v>1879.63</v>
      </c>
      <c r="G20" s="11">
        <v>2025.22</v>
      </c>
      <c r="H20" s="11">
        <v>1834.35</v>
      </c>
      <c r="I20" s="11">
        <v>1841.27</v>
      </c>
      <c r="J20" s="11">
        <v>1925.36</v>
      </c>
      <c r="K20" s="11">
        <v>2060.52</v>
      </c>
      <c r="L20" s="11">
        <v>2034.64</v>
      </c>
      <c r="M20" s="11">
        <v>1918.96</v>
      </c>
      <c r="N20" s="11">
        <f t="shared" si="16"/>
        <v>20800.29</v>
      </c>
    </row>
    <row r="21" spans="1:15" ht="24" customHeight="1" thickBot="1" x14ac:dyDescent="0.3">
      <c r="A21" s="4" t="s">
        <v>28</v>
      </c>
      <c r="B21" s="11">
        <v>17653.04</v>
      </c>
      <c r="C21" s="11">
        <v>17462.669999999998</v>
      </c>
      <c r="D21" s="11">
        <v>17566.78</v>
      </c>
      <c r="E21" s="11">
        <v>18013.580000000002</v>
      </c>
      <c r="F21" s="11">
        <v>18258.45</v>
      </c>
      <c r="G21" s="11">
        <v>18930.21</v>
      </c>
      <c r="H21" s="11">
        <v>20023.59</v>
      </c>
      <c r="I21" s="11">
        <v>17799.02</v>
      </c>
      <c r="J21" s="11">
        <v>16458.330000000002</v>
      </c>
      <c r="K21" s="11">
        <v>18762.29</v>
      </c>
      <c r="L21" s="11">
        <v>17830.05</v>
      </c>
      <c r="M21" s="11">
        <v>18345.41</v>
      </c>
      <c r="N21" s="11">
        <f t="shared" si="16"/>
        <v>217103.41999999998</v>
      </c>
    </row>
    <row r="22" spans="1:15" ht="31.2" customHeight="1" thickBot="1" x14ac:dyDescent="0.3">
      <c r="A22" s="4" t="s">
        <v>14</v>
      </c>
      <c r="B22" s="14">
        <f>1000-300</f>
        <v>700</v>
      </c>
      <c r="C22" s="14">
        <f t="shared" ref="C22:F22" si="17">1000-300</f>
        <v>700</v>
      </c>
      <c r="D22" s="14">
        <f t="shared" si="17"/>
        <v>700</v>
      </c>
      <c r="E22" s="14">
        <f t="shared" si="17"/>
        <v>700</v>
      </c>
      <c r="F22" s="14">
        <f t="shared" si="17"/>
        <v>700</v>
      </c>
      <c r="G22" s="14">
        <f>1000+3000-300</f>
        <v>3700</v>
      </c>
      <c r="H22" s="14">
        <f>3000+700</f>
        <v>3700</v>
      </c>
      <c r="I22" s="14">
        <f t="shared" ref="I22:M22" si="18">3000+700</f>
        <v>3700</v>
      </c>
      <c r="J22" s="14">
        <f t="shared" si="18"/>
        <v>3700</v>
      </c>
      <c r="K22" s="14">
        <f t="shared" si="18"/>
        <v>3700</v>
      </c>
      <c r="L22" s="14">
        <f t="shared" si="18"/>
        <v>3700</v>
      </c>
      <c r="M22" s="14">
        <f t="shared" si="18"/>
        <v>3700</v>
      </c>
      <c r="N22" s="11">
        <f t="shared" si="16"/>
        <v>29400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22.2" customHeight="1" thickBot="1" x14ac:dyDescent="0.3">
      <c r="A24" s="4" t="s">
        <v>1</v>
      </c>
      <c r="B24" s="11">
        <f t="shared" ref="B24:M24" si="19">5710.1*0.6</f>
        <v>3426.06</v>
      </c>
      <c r="C24" s="11">
        <f t="shared" si="19"/>
        <v>3426.06</v>
      </c>
      <c r="D24" s="11">
        <f t="shared" si="19"/>
        <v>3426.06</v>
      </c>
      <c r="E24" s="11">
        <f t="shared" si="19"/>
        <v>3426.06</v>
      </c>
      <c r="F24" s="11">
        <f t="shared" si="19"/>
        <v>3426.06</v>
      </c>
      <c r="G24" s="11">
        <f t="shared" si="19"/>
        <v>3426.06</v>
      </c>
      <c r="H24" s="11">
        <f t="shared" si="19"/>
        <v>3426.06</v>
      </c>
      <c r="I24" s="11">
        <f t="shared" si="19"/>
        <v>3426.06</v>
      </c>
      <c r="J24" s="11">
        <f t="shared" si="19"/>
        <v>3426.06</v>
      </c>
      <c r="K24" s="11">
        <f t="shared" si="19"/>
        <v>3426.06</v>
      </c>
      <c r="L24" s="11">
        <f t="shared" si="19"/>
        <v>3426.06</v>
      </c>
      <c r="M24" s="11">
        <f t="shared" si="19"/>
        <v>3426.06</v>
      </c>
      <c r="N24" s="11">
        <f>SUM(B24:M24)</f>
        <v>41112.720000000001</v>
      </c>
    </row>
    <row r="25" spans="1:15" ht="24" customHeight="1" thickBot="1" x14ac:dyDescent="0.3">
      <c r="A25" s="4" t="s">
        <v>2</v>
      </c>
      <c r="B25" s="11">
        <f t="shared" ref="B25" si="20">5710.1*0.17</f>
        <v>970.7170000000001</v>
      </c>
      <c r="C25" s="11">
        <f>5710.1*0.2</f>
        <v>1142.0200000000002</v>
      </c>
      <c r="D25" s="11">
        <f>5710.1*0.2</f>
        <v>1142.0200000000002</v>
      </c>
      <c r="E25" s="11">
        <f t="shared" ref="E25:M25" si="21">5710.1*0.2</f>
        <v>1142.0200000000002</v>
      </c>
      <c r="F25" s="11">
        <f t="shared" si="21"/>
        <v>1142.0200000000002</v>
      </c>
      <c r="G25" s="11">
        <f t="shared" si="21"/>
        <v>1142.0200000000002</v>
      </c>
      <c r="H25" s="11">
        <f t="shared" si="21"/>
        <v>1142.0200000000002</v>
      </c>
      <c r="I25" s="11">
        <f t="shared" si="21"/>
        <v>1142.0200000000002</v>
      </c>
      <c r="J25" s="11">
        <f t="shared" si="21"/>
        <v>1142.0200000000002</v>
      </c>
      <c r="K25" s="11">
        <f t="shared" si="21"/>
        <v>1142.0200000000002</v>
      </c>
      <c r="L25" s="11">
        <f t="shared" si="21"/>
        <v>1142.0200000000002</v>
      </c>
      <c r="M25" s="11">
        <f t="shared" si="21"/>
        <v>1142.0200000000002</v>
      </c>
      <c r="N25" s="11">
        <f t="shared" ref="N25:N38" si="22">SUM(B25:M25)</f>
        <v>13532.937000000004</v>
      </c>
    </row>
    <row r="26" spans="1:15" ht="22.95" customHeight="1" thickBot="1" x14ac:dyDescent="0.3">
      <c r="A26" s="4" t="s">
        <v>3</v>
      </c>
      <c r="B26" s="11">
        <f>135350.42*2.3%</f>
        <v>3113.0596600000003</v>
      </c>
      <c r="C26" s="11">
        <f>150353.7*2.6%</f>
        <v>3909.1962000000008</v>
      </c>
      <c r="D26" s="11">
        <f>150489.78*2.6%</f>
        <v>3912.7342800000001</v>
      </c>
      <c r="E26" s="11">
        <f>143368.55*2.6%</f>
        <v>3727.5823</v>
      </c>
      <c r="F26" s="11">
        <f>144115.85*2.6%</f>
        <v>3747.0121000000004</v>
      </c>
      <c r="G26" s="11">
        <f>165608.59*2.6%</f>
        <v>4305.8233399999999</v>
      </c>
      <c r="H26" s="11">
        <f>180073.33*2.6%</f>
        <v>4681.9065799999998</v>
      </c>
      <c r="I26" s="11">
        <f>167961.45*2.6%</f>
        <v>4366.9977000000008</v>
      </c>
      <c r="J26" s="11">
        <f>172403.46*2.6%</f>
        <v>4482.4899599999999</v>
      </c>
      <c r="K26" s="11">
        <f>163662.09*2.6%</f>
        <v>4255.2143400000004</v>
      </c>
      <c r="L26" s="11">
        <f>181588.69*2.6%</f>
        <v>4721.3059400000002</v>
      </c>
      <c r="M26" s="11">
        <f>181308.06*2.6%</f>
        <v>4714.0095600000004</v>
      </c>
      <c r="N26" s="11">
        <f t="shared" si="22"/>
        <v>49937.331959999996</v>
      </c>
    </row>
    <row r="27" spans="1:15" ht="23.25" customHeight="1" thickBot="1" x14ac:dyDescent="0.3">
      <c r="A27" s="4" t="s">
        <v>4</v>
      </c>
      <c r="B27" s="11">
        <f>153165.97*3%</f>
        <v>4594.9790999999996</v>
      </c>
      <c r="C27" s="11">
        <f>120160.42*3%</f>
        <v>3604.8125999999997</v>
      </c>
      <c r="D27" s="11">
        <f>134250.99*3%</f>
        <v>4027.5296999999996</v>
      </c>
      <c r="E27" s="11">
        <f>143793.32*3%</f>
        <v>4313.7996000000003</v>
      </c>
      <c r="F27" s="11">
        <f>132734.38*3%</f>
        <v>3982.0313999999998</v>
      </c>
      <c r="G27" s="11">
        <f>147164.82*3%</f>
        <v>4414.9445999999998</v>
      </c>
      <c r="H27" s="11">
        <f>154663.96*3%</f>
        <v>4639.9187999999995</v>
      </c>
      <c r="I27" s="11">
        <f>155203.62*3%</f>
        <v>4656.1085999999996</v>
      </c>
      <c r="J27" s="11">
        <f>149811.55*3%</f>
        <v>4494.3464999999997</v>
      </c>
      <c r="K27" s="11">
        <f>163081.52*3%</f>
        <v>4892.4455999999991</v>
      </c>
      <c r="L27" s="11">
        <f>154821.54*3%</f>
        <v>4644.6462000000001</v>
      </c>
      <c r="M27" s="11">
        <f>162842.15*3%</f>
        <v>4885.2644999999993</v>
      </c>
      <c r="N27" s="11">
        <f t="shared" si="22"/>
        <v>53150.8272</v>
      </c>
    </row>
    <row r="28" spans="1:15" ht="23.25" customHeight="1" thickBot="1" x14ac:dyDescent="0.3">
      <c r="A28" s="4" t="s">
        <v>9</v>
      </c>
      <c r="B28" s="11">
        <f>5710.1*12</f>
        <v>68521.200000000012</v>
      </c>
      <c r="C28" s="11">
        <f t="shared" ref="C28:M28" si="23">5710.1*12</f>
        <v>68521.200000000012</v>
      </c>
      <c r="D28" s="11">
        <f t="shared" si="23"/>
        <v>68521.200000000012</v>
      </c>
      <c r="E28" s="11">
        <f t="shared" si="23"/>
        <v>68521.200000000012</v>
      </c>
      <c r="F28" s="11">
        <f t="shared" si="23"/>
        <v>68521.200000000012</v>
      </c>
      <c r="G28" s="11">
        <f t="shared" si="23"/>
        <v>68521.200000000012</v>
      </c>
      <c r="H28" s="11">
        <f t="shared" si="23"/>
        <v>68521.200000000012</v>
      </c>
      <c r="I28" s="11">
        <f t="shared" si="23"/>
        <v>68521.200000000012</v>
      </c>
      <c r="J28" s="11">
        <f t="shared" si="23"/>
        <v>68521.200000000012</v>
      </c>
      <c r="K28" s="11">
        <f t="shared" si="23"/>
        <v>68521.200000000012</v>
      </c>
      <c r="L28" s="11">
        <f t="shared" si="23"/>
        <v>68521.200000000012</v>
      </c>
      <c r="M28" s="11">
        <f t="shared" si="23"/>
        <v>68521.200000000012</v>
      </c>
      <c r="N28" s="11">
        <f t="shared" si="22"/>
        <v>822254.39999999991</v>
      </c>
    </row>
    <row r="29" spans="1:15" ht="26.25" customHeight="1" thickBot="1" x14ac:dyDescent="0.3">
      <c r="A29" s="4" t="s">
        <v>19</v>
      </c>
      <c r="B29" s="11">
        <f>4936.6</f>
        <v>4936.6000000000004</v>
      </c>
      <c r="C29" s="11">
        <f t="shared" ref="C29:G29" si="24">4936.6</f>
        <v>4936.6000000000004</v>
      </c>
      <c r="D29" s="11">
        <f t="shared" si="24"/>
        <v>4936.6000000000004</v>
      </c>
      <c r="E29" s="11">
        <f t="shared" si="24"/>
        <v>4936.6000000000004</v>
      </c>
      <c r="F29" s="11">
        <f t="shared" si="24"/>
        <v>4936.6000000000004</v>
      </c>
      <c r="G29" s="11">
        <f t="shared" si="24"/>
        <v>4936.6000000000004</v>
      </c>
      <c r="H29" s="11">
        <v>5639.79</v>
      </c>
      <c r="I29" s="11">
        <v>5639.79</v>
      </c>
      <c r="J29" s="11">
        <v>5639.79</v>
      </c>
      <c r="K29" s="11">
        <v>5639.79</v>
      </c>
      <c r="L29" s="11">
        <v>5639.79</v>
      </c>
      <c r="M29" s="11">
        <v>5639.79</v>
      </c>
      <c r="N29" s="11">
        <f t="shared" si="22"/>
        <v>63458.340000000004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22"/>
        <v>0</v>
      </c>
    </row>
    <row r="31" spans="1:15" ht="26.25" customHeight="1" thickBot="1" x14ac:dyDescent="0.3">
      <c r="A31" s="4" t="s">
        <v>21</v>
      </c>
      <c r="B31" s="11">
        <v>16878.78</v>
      </c>
      <c r="C31" s="11">
        <v>15075.83</v>
      </c>
      <c r="D31" s="11">
        <v>9997.7099999999991</v>
      </c>
      <c r="E31" s="11">
        <v>9902.58</v>
      </c>
      <c r="F31" s="11">
        <v>2844.84</v>
      </c>
      <c r="G31" s="11">
        <v>17114.34</v>
      </c>
      <c r="H31" s="11">
        <v>4671.6000000000004</v>
      </c>
      <c r="I31" s="11">
        <v>8741.4</v>
      </c>
      <c r="J31" s="11">
        <v>0</v>
      </c>
      <c r="K31" s="11">
        <v>8272.2000000000007</v>
      </c>
      <c r="L31" s="11">
        <v>18360</v>
      </c>
      <c r="M31" s="11">
        <v>6390.31</v>
      </c>
      <c r="N31" s="11">
        <f t="shared" si="22"/>
        <v>118249.59</v>
      </c>
    </row>
    <row r="32" spans="1:15" ht="26.25" customHeight="1" thickBot="1" x14ac:dyDescent="0.3">
      <c r="A32" s="4" t="s">
        <v>24</v>
      </c>
      <c r="B32" s="11">
        <v>1882.2</v>
      </c>
      <c r="C32" s="11">
        <v>1882.2</v>
      </c>
      <c r="D32" s="11">
        <v>1882.2</v>
      </c>
      <c r="E32" s="11">
        <v>1882.2</v>
      </c>
      <c r="F32" s="11">
        <v>1882.2</v>
      </c>
      <c r="G32" s="11">
        <v>1882.2</v>
      </c>
      <c r="H32" s="11">
        <v>2077.2399999999998</v>
      </c>
      <c r="I32" s="11">
        <v>2077.2399999999998</v>
      </c>
      <c r="J32" s="11">
        <v>2077.2399999999998</v>
      </c>
      <c r="K32" s="11">
        <v>2077.2399999999998</v>
      </c>
      <c r="L32" s="11">
        <v>2077.2399999999998</v>
      </c>
      <c r="M32" s="11">
        <v>2077.2399999999998</v>
      </c>
      <c r="N32" s="11">
        <f t="shared" si="22"/>
        <v>23756.639999999992</v>
      </c>
    </row>
    <row r="33" spans="1:14" ht="22.5" customHeight="1" thickBot="1" x14ac:dyDescent="0.3">
      <c r="A33" s="4" t="s">
        <v>6</v>
      </c>
      <c r="B33" s="11">
        <f t="shared" ref="B33:F33" si="25">5710.1*2.85</f>
        <v>16273.785000000002</v>
      </c>
      <c r="C33" s="11">
        <f t="shared" si="25"/>
        <v>16273.785000000002</v>
      </c>
      <c r="D33" s="11">
        <f t="shared" si="25"/>
        <v>16273.785000000002</v>
      </c>
      <c r="E33" s="11">
        <f t="shared" si="25"/>
        <v>16273.785000000002</v>
      </c>
      <c r="F33" s="11">
        <f t="shared" si="25"/>
        <v>16273.785000000002</v>
      </c>
      <c r="G33" s="11">
        <f>5710.1*3.6</f>
        <v>20556.36</v>
      </c>
      <c r="H33" s="11">
        <f t="shared" ref="H33:M33" si="26">5710.1*3.6</f>
        <v>20556.36</v>
      </c>
      <c r="I33" s="11">
        <f t="shared" si="26"/>
        <v>20556.36</v>
      </c>
      <c r="J33" s="11">
        <f t="shared" si="26"/>
        <v>20556.36</v>
      </c>
      <c r="K33" s="11">
        <f t="shared" si="26"/>
        <v>20556.36</v>
      </c>
      <c r="L33" s="11">
        <f t="shared" si="26"/>
        <v>20556.36</v>
      </c>
      <c r="M33" s="11">
        <f t="shared" si="26"/>
        <v>20556.36</v>
      </c>
      <c r="N33" s="11">
        <f t="shared" si="22"/>
        <v>225263.44499999995</v>
      </c>
    </row>
    <row r="34" spans="1:14" ht="24" customHeight="1" thickBot="1" x14ac:dyDescent="0.3">
      <c r="A34" s="4" t="s">
        <v>28</v>
      </c>
      <c r="B34" s="11">
        <v>16561.47</v>
      </c>
      <c r="C34" s="11">
        <v>15358.04</v>
      </c>
      <c r="D34" s="11">
        <v>15192.67</v>
      </c>
      <c r="E34" s="11">
        <v>15282.78</v>
      </c>
      <c r="F34" s="11">
        <v>15671.58</v>
      </c>
      <c r="G34" s="11">
        <v>15884.45</v>
      </c>
      <c r="H34" s="11">
        <v>16469.21</v>
      </c>
      <c r="I34" s="11">
        <v>17420.59</v>
      </c>
      <c r="J34" s="11">
        <v>15485.02</v>
      </c>
      <c r="K34" s="11">
        <v>14318.33</v>
      </c>
      <c r="L34" s="11">
        <v>16323.29</v>
      </c>
      <c r="M34" s="11">
        <v>15512.05</v>
      </c>
      <c r="N34" s="11">
        <f t="shared" si="22"/>
        <v>189479.47999999995</v>
      </c>
    </row>
    <row r="35" spans="1:14" ht="24" customHeight="1" thickBot="1" x14ac:dyDescent="0.3">
      <c r="A35" s="4" t="s">
        <v>29</v>
      </c>
      <c r="B35" s="11">
        <v>2475</v>
      </c>
      <c r="C35" s="11">
        <v>2295</v>
      </c>
      <c r="D35" s="11">
        <v>2270</v>
      </c>
      <c r="E35" s="11">
        <v>2284</v>
      </c>
      <c r="F35" s="11">
        <v>2342</v>
      </c>
      <c r="G35" s="11">
        <v>2374</v>
      </c>
      <c r="H35" s="11">
        <v>2461</v>
      </c>
      <c r="I35" s="11">
        <v>2603</v>
      </c>
      <c r="J35" s="11">
        <v>2314</v>
      </c>
      <c r="K35" s="11">
        <v>2140</v>
      </c>
      <c r="L35" s="11">
        <v>2439</v>
      </c>
      <c r="M35" s="11">
        <v>2318</v>
      </c>
      <c r="N35" s="11">
        <f t="shared" si="22"/>
        <v>28315</v>
      </c>
    </row>
    <row r="36" spans="1:14" ht="24" customHeight="1" thickBot="1" x14ac:dyDescent="0.3">
      <c r="A36" s="4" t="s">
        <v>43</v>
      </c>
      <c r="B36" s="11">
        <v>1543.16</v>
      </c>
      <c r="C36" s="11">
        <v>1744.45</v>
      </c>
      <c r="D36" s="11">
        <v>1744.45</v>
      </c>
      <c r="E36" s="11">
        <v>1744.45</v>
      </c>
      <c r="F36" s="11">
        <v>1744.45</v>
      </c>
      <c r="G36" s="11">
        <v>1744.45</v>
      </c>
      <c r="H36" s="11">
        <v>1744.45</v>
      </c>
      <c r="I36" s="11">
        <v>1744.45</v>
      </c>
      <c r="J36" s="11">
        <v>1744.45</v>
      </c>
      <c r="K36" s="11">
        <v>1744.45</v>
      </c>
      <c r="L36" s="11">
        <v>1744.45</v>
      </c>
      <c r="M36" s="11">
        <v>1744.45</v>
      </c>
      <c r="N36" s="11">
        <f t="shared" si="22"/>
        <v>20732.110000000004</v>
      </c>
    </row>
    <row r="37" spans="1:14" ht="22.95" customHeight="1" thickBot="1" x14ac:dyDescent="0.3">
      <c r="A37" s="4" t="s">
        <v>27</v>
      </c>
      <c r="B37" s="11">
        <v>1000</v>
      </c>
      <c r="C37" s="11">
        <v>1000</v>
      </c>
      <c r="D37" s="11">
        <v>1000</v>
      </c>
      <c r="E37" s="11">
        <v>1000</v>
      </c>
      <c r="F37" s="11">
        <v>1000</v>
      </c>
      <c r="G37" s="11">
        <v>1000</v>
      </c>
      <c r="H37" s="11">
        <v>1000</v>
      </c>
      <c r="I37" s="11">
        <v>1000</v>
      </c>
      <c r="J37" s="11">
        <v>1000</v>
      </c>
      <c r="K37" s="11">
        <v>1000</v>
      </c>
      <c r="L37" s="11">
        <v>1000</v>
      </c>
      <c r="M37" s="11">
        <v>1000</v>
      </c>
      <c r="N37" s="11">
        <f t="shared" si="22"/>
        <v>12000</v>
      </c>
    </row>
    <row r="38" spans="1:14" ht="24" customHeight="1" thickBot="1" x14ac:dyDescent="0.3">
      <c r="A38" s="4" t="s">
        <v>10</v>
      </c>
      <c r="B38" s="11">
        <f>16736.1+1386.3+4711.4</f>
        <v>22833.799999999996</v>
      </c>
      <c r="C38" s="11">
        <f>2890.5+29725</f>
        <v>32615.5</v>
      </c>
      <c r="D38" s="11">
        <f>225225</f>
        <v>225225</v>
      </c>
      <c r="E38" s="11">
        <v>0</v>
      </c>
      <c r="F38" s="11">
        <v>0</v>
      </c>
      <c r="G38" s="11">
        <v>0</v>
      </c>
      <c r="H38" s="11">
        <f>101630.8+6420.9</f>
        <v>108051.7</v>
      </c>
      <c r="I38" s="11">
        <v>0</v>
      </c>
      <c r="J38" s="11">
        <v>0</v>
      </c>
      <c r="K38" s="11">
        <v>0</v>
      </c>
      <c r="L38" s="11">
        <f>1000+199.1</f>
        <v>1199.0999999999999</v>
      </c>
      <c r="M38" s="11">
        <f>3164.3</f>
        <v>3164.3</v>
      </c>
      <c r="N38" s="11">
        <f t="shared" si="22"/>
        <v>393089.39999999997</v>
      </c>
    </row>
    <row r="39" spans="1:14" ht="22.5" customHeight="1" thickBot="1" x14ac:dyDescent="0.3">
      <c r="A39" s="9" t="s">
        <v>22</v>
      </c>
      <c r="B39" s="10">
        <f t="shared" ref="B39:M39" si="27">SUM(B24:B38)</f>
        <v>165010.81075999999</v>
      </c>
      <c r="C39" s="10">
        <f t="shared" si="27"/>
        <v>171784.69380000004</v>
      </c>
      <c r="D39" s="10">
        <f t="shared" si="27"/>
        <v>359551.95898</v>
      </c>
      <c r="E39" s="10">
        <f t="shared" si="27"/>
        <v>134437.05690000003</v>
      </c>
      <c r="F39" s="10">
        <f t="shared" si="27"/>
        <v>127513.77850000001</v>
      </c>
      <c r="G39" s="10">
        <f t="shared" si="27"/>
        <v>147302.44794000004</v>
      </c>
      <c r="H39" s="10">
        <f t="shared" si="27"/>
        <v>245082.45538</v>
      </c>
      <c r="I39" s="10">
        <f t="shared" si="27"/>
        <v>141895.21630000003</v>
      </c>
      <c r="J39" s="10">
        <f t="shared" si="27"/>
        <v>130882.97646000002</v>
      </c>
      <c r="K39" s="10">
        <f t="shared" si="27"/>
        <v>137985.30994000001</v>
      </c>
      <c r="L39" s="10">
        <f t="shared" si="27"/>
        <v>151794.46214000002</v>
      </c>
      <c r="M39" s="10">
        <f t="shared" si="27"/>
        <v>141091.05405999999</v>
      </c>
      <c r="N39" s="10">
        <f>SUM(N24:N38)</f>
        <v>2054332.2211599995</v>
      </c>
    </row>
    <row r="40" spans="1:14" ht="23.25" customHeight="1" thickBot="1" x14ac:dyDescent="0.3">
      <c r="A40" s="4" t="s">
        <v>5</v>
      </c>
      <c r="B40" s="18">
        <f t="shared" ref="B40:M40" si="28">B15-B39</f>
        <v>-10721.540760000004</v>
      </c>
      <c r="C40" s="18">
        <f t="shared" si="28"/>
        <v>-50185.063800000033</v>
      </c>
      <c r="D40" s="18">
        <f t="shared" si="28"/>
        <v>-223814.80898000003</v>
      </c>
      <c r="E40" s="18">
        <f t="shared" si="28"/>
        <v>10056.263099999982</v>
      </c>
      <c r="F40" s="18">
        <f t="shared" si="28"/>
        <v>5920.6014999999898</v>
      </c>
      <c r="G40" s="18">
        <f t="shared" si="28"/>
        <v>3562.3720599999651</v>
      </c>
      <c r="H40" s="18">
        <f t="shared" si="28"/>
        <v>-86718.495380000008</v>
      </c>
      <c r="I40" s="18">
        <f t="shared" si="28"/>
        <v>17008.403699999966</v>
      </c>
      <c r="J40" s="18">
        <f t="shared" si="28"/>
        <v>22628.573539999968</v>
      </c>
      <c r="K40" s="18">
        <f t="shared" si="28"/>
        <v>28796.210060000012</v>
      </c>
      <c r="L40" s="18">
        <f t="shared" si="28"/>
        <v>6727.0778599999903</v>
      </c>
      <c r="M40" s="18">
        <f t="shared" si="28"/>
        <v>26165.095939999999</v>
      </c>
      <c r="N40" s="18">
        <f>N15-N39</f>
        <v>-250575.31115999958</v>
      </c>
    </row>
    <row r="41" spans="1:14" ht="23.25" customHeight="1" thickBot="1" x14ac:dyDescent="0.3">
      <c r="A41" s="4" t="s">
        <v>7</v>
      </c>
      <c r="B41" s="14">
        <f t="shared" ref="B41:N41" si="29">B5+B40</f>
        <v>-135401.94076</v>
      </c>
      <c r="C41" s="14">
        <f t="shared" si="29"/>
        <v>-185587.00456000003</v>
      </c>
      <c r="D41" s="14">
        <f t="shared" si="29"/>
        <v>-409401.81354000006</v>
      </c>
      <c r="E41" s="14">
        <f t="shared" si="29"/>
        <v>-399345.55044000008</v>
      </c>
      <c r="F41" s="14">
        <f t="shared" si="29"/>
        <v>-393424.94894000009</v>
      </c>
      <c r="G41" s="14">
        <f t="shared" si="29"/>
        <v>-389862.57688000012</v>
      </c>
      <c r="H41" s="14">
        <f t="shared" si="29"/>
        <v>-476581.07226000016</v>
      </c>
      <c r="I41" s="14">
        <f t="shared" si="29"/>
        <v>-459572.66856000019</v>
      </c>
      <c r="J41" s="14">
        <f t="shared" si="29"/>
        <v>-436944.09502000024</v>
      </c>
      <c r="K41" s="14">
        <f t="shared" si="29"/>
        <v>-408147.88496000023</v>
      </c>
      <c r="L41" s="14">
        <f t="shared" si="29"/>
        <v>-401420.80710000021</v>
      </c>
      <c r="M41" s="14">
        <f t="shared" si="29"/>
        <v>-375255.71116000018</v>
      </c>
      <c r="N41" s="14">
        <f t="shared" si="29"/>
        <v>-375255.7111599996</v>
      </c>
    </row>
    <row r="42" spans="1:14" ht="27" customHeight="1" thickBot="1" x14ac:dyDescent="0.3">
      <c r="A42" s="15" t="s">
        <v>11</v>
      </c>
      <c r="B42" s="19">
        <f t="shared" ref="B42:H42" si="30">B6+B15-B7</f>
        <v>-472912.30999999994</v>
      </c>
      <c r="C42" s="19">
        <f t="shared" si="30"/>
        <v>-503105.58999999991</v>
      </c>
      <c r="D42" s="19">
        <f t="shared" si="30"/>
        <v>-519344.37999999995</v>
      </c>
      <c r="E42" s="19">
        <f t="shared" si="30"/>
        <v>-519761.25999999989</v>
      </c>
      <c r="F42" s="19">
        <f t="shared" si="30"/>
        <v>-531142.72999999986</v>
      </c>
      <c r="G42" s="19">
        <f t="shared" si="30"/>
        <v>-549586.49999999977</v>
      </c>
      <c r="H42" s="19">
        <f t="shared" si="30"/>
        <v>-574995.86999999976</v>
      </c>
      <c r="I42" s="19">
        <f t="shared" ref="I42:N42" si="31">I6+I15-I7</f>
        <v>-588125.94999999972</v>
      </c>
      <c r="J42" s="19">
        <f t="shared" si="31"/>
        <v>-610717.85999999975</v>
      </c>
      <c r="K42" s="19">
        <f t="shared" si="31"/>
        <v>-611298.4299999997</v>
      </c>
      <c r="L42" s="19">
        <f t="shared" si="31"/>
        <v>-638065.57999999961</v>
      </c>
      <c r="M42" s="19">
        <f t="shared" si="31"/>
        <v>-656531.48999999953</v>
      </c>
      <c r="N42" s="19">
        <f t="shared" si="31"/>
        <v>-656531.49000000022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2026-02-17T03:56:10Z</cp:lastPrinted>
  <dcterms:created xsi:type="dcterms:W3CDTF">2011-06-06T03:25:48Z</dcterms:created>
  <dcterms:modified xsi:type="dcterms:W3CDTF">2026-02-17T03:58:33Z</dcterms:modified>
</cp:coreProperties>
</file>