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6152" windowHeight="1093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37" i="1" l="1"/>
  <c r="K37" i="1" l="1"/>
  <c r="K32" i="1" l="1"/>
  <c r="L32" i="1"/>
  <c r="M32" i="1"/>
  <c r="M27" i="1" l="1"/>
  <c r="M16" i="1"/>
  <c r="M26" i="1"/>
  <c r="M8" i="1"/>
  <c r="L27" i="1" l="1"/>
  <c r="L16" i="1"/>
  <c r="L26" i="1" l="1"/>
  <c r="L8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H22" i="1" l="1"/>
  <c r="I22" i="1"/>
  <c r="H14" i="1"/>
  <c r="I14" i="1"/>
  <c r="J14" i="1"/>
  <c r="F22" i="1" l="1"/>
  <c r="G22" i="1"/>
  <c r="E22" i="1"/>
  <c r="D22" i="1"/>
  <c r="C22" i="1"/>
  <c r="B22" i="1"/>
  <c r="C14" i="1"/>
  <c r="D14" i="1"/>
  <c r="E14" i="1"/>
  <c r="F14" i="1"/>
  <c r="G14" i="1"/>
  <c r="B14" i="1"/>
  <c r="J37" i="1" l="1"/>
  <c r="I32" i="1" l="1"/>
  <c r="J32" i="1"/>
  <c r="H32" i="1"/>
  <c r="I37" i="1" l="1"/>
  <c r="J27" i="1" l="1"/>
  <c r="J16" i="1"/>
  <c r="J26" i="1"/>
  <c r="J8" i="1"/>
  <c r="I27" i="1" l="1"/>
  <c r="I16" i="1"/>
  <c r="I26" i="1"/>
  <c r="I8" i="1"/>
  <c r="H37" i="1" l="1"/>
  <c r="H27" i="1" l="1"/>
  <c r="H16" i="1"/>
  <c r="H26" i="1"/>
  <c r="H33" i="1"/>
  <c r="I33" i="1"/>
  <c r="J33" i="1"/>
  <c r="H28" i="1"/>
  <c r="I28" i="1"/>
  <c r="J28" i="1"/>
  <c r="H25" i="1"/>
  <c r="I25" i="1"/>
  <c r="J25" i="1"/>
  <c r="H24" i="1"/>
  <c r="I24" i="1"/>
  <c r="J24" i="1"/>
  <c r="H8" i="1"/>
  <c r="G37" i="1" l="1"/>
  <c r="E32" i="1" l="1"/>
  <c r="F32" i="1"/>
  <c r="G32" i="1"/>
  <c r="F37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G33" i="1" l="1"/>
  <c r="E33" i="1" l="1"/>
  <c r="F33" i="1"/>
  <c r="E28" i="1"/>
  <c r="F28" i="1"/>
  <c r="G28" i="1"/>
  <c r="E25" i="1"/>
  <c r="F25" i="1"/>
  <c r="G25" i="1"/>
  <c r="E24" i="1"/>
  <c r="F24" i="1"/>
  <c r="G24" i="1"/>
  <c r="C32" i="1" l="1"/>
  <c r="D32" i="1"/>
  <c r="B32" i="1"/>
  <c r="D29" i="1"/>
  <c r="C29" i="1"/>
  <c r="B29" i="1"/>
  <c r="D37" i="1" l="1"/>
  <c r="B37" i="1" l="1"/>
  <c r="D26" i="1" l="1"/>
  <c r="C28" i="1" l="1"/>
  <c r="D28" i="1"/>
  <c r="B28" i="1"/>
  <c r="C26" i="1"/>
  <c r="D25" i="1"/>
  <c r="C25" i="1"/>
  <c r="D27" i="1" l="1"/>
  <c r="D16" i="1"/>
  <c r="D8" i="1"/>
  <c r="C33" i="1" l="1"/>
  <c r="D33" i="1"/>
  <c r="B33" i="1"/>
  <c r="B25" i="1"/>
  <c r="C24" i="1"/>
  <c r="D24" i="1"/>
  <c r="B24" i="1"/>
  <c r="C27" i="1" l="1"/>
  <c r="C16" i="1"/>
  <c r="C8" i="1"/>
  <c r="B27" i="1" l="1"/>
  <c r="B16" i="1"/>
  <c r="B26" i="1"/>
  <c r="B8" i="1"/>
  <c r="N35" i="1" l="1"/>
  <c r="N34" i="1" l="1"/>
  <c r="G15" i="1" l="1"/>
  <c r="D15" i="1" l="1"/>
  <c r="N25" i="1" l="1"/>
  <c r="N26" i="1"/>
  <c r="N27" i="1"/>
  <c r="N28" i="1"/>
  <c r="N29" i="1"/>
  <c r="N30" i="1"/>
  <c r="N31" i="1"/>
  <c r="N32" i="1"/>
  <c r="N33" i="1"/>
  <c r="N36" i="1"/>
  <c r="N37" i="1"/>
  <c r="N24" i="1"/>
  <c r="C15" i="1" l="1"/>
  <c r="E15" i="1"/>
  <c r="F15" i="1"/>
  <c r="H15" i="1"/>
  <c r="I15" i="1"/>
  <c r="J15" i="1"/>
  <c r="K15" i="1"/>
  <c r="L15" i="1"/>
  <c r="M15" i="1"/>
  <c r="B15" i="1"/>
  <c r="C7" i="1"/>
  <c r="D7" i="1"/>
  <c r="E7" i="1"/>
  <c r="F7" i="1"/>
  <c r="G7" i="1"/>
  <c r="H7" i="1"/>
  <c r="I7" i="1"/>
  <c r="J7" i="1"/>
  <c r="K7" i="1"/>
  <c r="L7" i="1"/>
  <c r="M7" i="1"/>
  <c r="B7" i="1"/>
  <c r="J38" i="1" l="1"/>
  <c r="J39" i="1" s="1"/>
  <c r="G38" i="1"/>
  <c r="G39" i="1" s="1"/>
  <c r="B41" i="1"/>
  <c r="N15" i="1"/>
  <c r="N7" i="1"/>
  <c r="N17" i="1" l="1"/>
  <c r="N16" i="1" l="1"/>
  <c r="N6" i="1" l="1"/>
  <c r="N41" i="1" s="1"/>
  <c r="N5" i="1"/>
  <c r="N18" i="1" l="1"/>
  <c r="N19" i="1"/>
  <c r="N20" i="1"/>
  <c r="N21" i="1"/>
  <c r="N22" i="1"/>
  <c r="N9" i="1"/>
  <c r="N10" i="1"/>
  <c r="N11" i="1"/>
  <c r="N12" i="1"/>
  <c r="N13" i="1"/>
  <c r="N14" i="1"/>
  <c r="N8" i="1" l="1"/>
  <c r="K38" i="1" l="1"/>
  <c r="K39" i="1" s="1"/>
  <c r="L38" i="1"/>
  <c r="L39" i="1" s="1"/>
  <c r="M38" i="1"/>
  <c r="M39" i="1" s="1"/>
  <c r="I38" i="1"/>
  <c r="I39" i="1" s="1"/>
  <c r="H38" i="1" l="1"/>
  <c r="H39" i="1" s="1"/>
  <c r="F38" i="1" l="1"/>
  <c r="F39" i="1" s="1"/>
  <c r="E38" i="1"/>
  <c r="E39" i="1" s="1"/>
  <c r="C38" i="1"/>
  <c r="C39" i="1" s="1"/>
  <c r="D38" i="1" l="1"/>
  <c r="D39" i="1" s="1"/>
  <c r="B38" i="1" l="1"/>
  <c r="N38" i="1" s="1"/>
  <c r="B39" i="1" l="1"/>
  <c r="B40" i="1" l="1"/>
  <c r="C5" i="1" s="1"/>
  <c r="C40" i="1" s="1"/>
  <c r="N39" i="1"/>
  <c r="N40" i="1" s="1"/>
  <c r="C6" i="1" l="1"/>
  <c r="C41" i="1" s="1"/>
  <c r="D5" i="1"/>
  <c r="D40" i="1" s="1"/>
  <c r="D6" i="1" l="1"/>
  <c r="D41" i="1" s="1"/>
  <c r="E5" i="1"/>
  <c r="E40" i="1" s="1"/>
  <c r="E6" i="1" l="1"/>
  <c r="E41" i="1" s="1"/>
  <c r="F6" i="1" s="1"/>
  <c r="F41" i="1" s="1"/>
  <c r="F5" i="1"/>
  <c r="F40" i="1" s="1"/>
  <c r="G6" i="1" l="1"/>
  <c r="G41" i="1" s="1"/>
  <c r="G5" i="1"/>
  <c r="G40" i="1" s="1"/>
  <c r="H5" i="1" l="1"/>
  <c r="H40" i="1" s="1"/>
  <c r="H6" i="1" l="1"/>
  <c r="H41" i="1" s="1"/>
  <c r="I5" i="1"/>
  <c r="I6" i="1" l="1"/>
  <c r="I41" i="1" s="1"/>
  <c r="I40" i="1"/>
  <c r="J5" i="1" s="1"/>
  <c r="J40" i="1" s="1"/>
  <c r="J6" i="1" l="1"/>
  <c r="J41" i="1" s="1"/>
  <c r="K5" i="1"/>
  <c r="K6" i="1" l="1"/>
  <c r="K41" i="1" s="1"/>
  <c r="K40" i="1"/>
  <c r="L5" i="1" s="1"/>
  <c r="L6" i="1" l="1"/>
  <c r="L41" i="1" s="1"/>
  <c r="L40" i="1"/>
  <c r="M5" i="1" s="1"/>
  <c r="M40" i="1" s="1"/>
  <c r="M6" i="1" l="1"/>
  <c r="M41" i="1" s="1"/>
</calcChain>
</file>

<file path=xl/sharedStrings.xml><?xml version="1.0" encoding="utf-8"?>
<sst xmlns="http://schemas.openxmlformats.org/spreadsheetml/2006/main" count="52" uniqueCount="44">
  <si>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</si>
  <si>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</si>
  <si>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</si>
  <si>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</si>
  <si>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</si>
  <si>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</si>
  <si>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</si>
  <si>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</si>
  <si>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</si>
  <si>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</si>
  <si>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</si>
  <si>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</si>
  <si>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</si>
  <si>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</si>
  <si>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</si>
  <si>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</si>
  <si>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</si>
  <si>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</si>
  <si>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</si>
  <si>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</si>
  <si>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</si>
  <si>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</si>
  <si>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</si>
  <si>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</si>
  <si>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</si>
  <si>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Содержание жилья и текущий ремонт,  ОПУ</t>
  </si>
  <si>
    <t xml:space="preserve">Содержание жилья и текущий ремонт,  ОПУ </t>
  </si>
  <si>
    <t xml:space="preserve">Тех.обслуживание узла учета теплоэнергии 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</si>
  <si>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</si>
  <si>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</si>
  <si>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</si>
  <si>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</si>
  <si>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</si>
  <si>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</si>
  <si>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</si>
  <si>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</si>
  <si>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</t>
  </si>
  <si>
    <t>Август 2025г.</t>
  </si>
  <si>
    <t>Сентябрь 2025г.</t>
  </si>
  <si>
    <t>Октябрь 2025г</t>
  </si>
  <si>
    <t>Ноябрь 2025г</t>
  </si>
  <si>
    <t>Декабрь 2025г</t>
  </si>
  <si>
    <t>Всего:                       за  2025г.</t>
  </si>
  <si>
    <t xml:space="preserve">                 ОТЧЕТ по дому Можайского, 2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</si>
</sst>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tabSelected="1" topLeftCell="A16" zoomScale="75" workbookViewId="0">
      <selection activeCell="A16" sqref="A1:H1048576"/>
    </sheetView>
  </sheetViews>
  <sheetFormatPr defaultRowHeight="13.2" x14ac:dyDescent="0.25"/>
  <cols>
    <col min="1" max="1" width="58.6640625" customWidth="1"/>
    <col min="2" max="2" width="14.44140625" customWidth="1"/>
    <col min="3" max="3" width="13.44140625" customWidth="1"/>
    <col min="4" max="4" width="14.5546875" customWidth="1"/>
    <col min="5" max="5" width="14.88671875" customWidth="1"/>
    <col min="6" max="6" width="15" customWidth="1"/>
    <col min="7" max="7" width="14.88671875" customWidth="1"/>
    <col min="8" max="8" width="14" customWidth="1"/>
    <col min="9" max="9" width="13.88671875" customWidth="1"/>
    <col min="10" max="12" width="14.33203125" customWidth="1"/>
    <col min="13" max="13" width="15.88671875" customWidth="1"/>
    <col min="14" max="14" width="15.5546875" customWidth="1"/>
  </cols>
  <sheetData>
    <row r="1" spans="1:18" ht="20.25" customHeight="1" x14ac:dyDescent="0.3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15</v>
      </c>
      <c r="B5" s="8">
        <v>61866.3</v>
      </c>
      <c r="C5" s="8">
        <f t="shared" ref="C5:D6" si="0">B40</f>
        <v>55785.72441000001</v>
      </c>
      <c r="D5" s="8">
        <f t="shared" si="0"/>
        <v>102657.76065</v>
      </c>
      <c r="E5" s="8">
        <f t="shared" ref="E5:E6" si="1">D40</f>
        <v>104612.04091000001</v>
      </c>
      <c r="F5" s="8">
        <f t="shared" ref="F5:F6" si="2">E40</f>
        <v>105190.77917000001</v>
      </c>
      <c r="G5" s="8">
        <f t="shared" ref="G5:G6" si="3">F40</f>
        <v>105917.48483</v>
      </c>
      <c r="H5" s="8">
        <f t="shared" ref="H5:H6" si="4">G40</f>
        <v>48765.608650000009</v>
      </c>
      <c r="I5" s="8">
        <f t="shared" ref="I5:I6" si="5">H40</f>
        <v>77140.976170000024</v>
      </c>
      <c r="J5" s="8">
        <f t="shared" ref="J5:J6" si="6">I40</f>
        <v>73815.522550000023</v>
      </c>
      <c r="K5" s="8">
        <f t="shared" ref="K5:K6" si="7">J40</f>
        <v>75474.019430000044</v>
      </c>
      <c r="L5" s="8">
        <f t="shared" ref="L5:L6" si="8">K40</f>
        <v>82610.382010000045</v>
      </c>
      <c r="M5" s="8">
        <f t="shared" ref="M5:M6" si="9">L40</f>
        <v>100336.31419000005</v>
      </c>
      <c r="N5" s="8">
        <f>B5</f>
        <v>61866.3</v>
      </c>
    </row>
    <row r="6" spans="1:18" ht="21" customHeight="1" thickBot="1" x14ac:dyDescent="0.3">
      <c r="A6" s="7" t="s">
        <v>13</v>
      </c>
      <c r="B6" s="8">
        <v>-267404.74</v>
      </c>
      <c r="C6" s="8">
        <f t="shared" si="0"/>
        <v>-272929.72000000003</v>
      </c>
      <c r="D6" s="8">
        <f t="shared" si="0"/>
        <v>-237118.08000000007</v>
      </c>
      <c r="E6" s="8">
        <f t="shared" si="1"/>
        <v>-235250.43000000005</v>
      </c>
      <c r="F6" s="8">
        <f t="shared" si="2"/>
        <v>-244141.18000000002</v>
      </c>
      <c r="G6" s="8">
        <f t="shared" si="3"/>
        <v>-247384.59</v>
      </c>
      <c r="H6" s="8">
        <f t="shared" si="4"/>
        <v>-257629.15999999997</v>
      </c>
      <c r="I6" s="8">
        <f t="shared" si="5"/>
        <v>-239178.51999999996</v>
      </c>
      <c r="J6" s="8">
        <f t="shared" si="6"/>
        <v>-245108.20999999993</v>
      </c>
      <c r="K6" s="8">
        <f t="shared" si="7"/>
        <v>-238383.24999999994</v>
      </c>
      <c r="L6" s="8">
        <f t="shared" si="8"/>
        <v>-253000.2399999999</v>
      </c>
      <c r="M6" s="8">
        <f t="shared" si="9"/>
        <v>-248601.78999999992</v>
      </c>
      <c r="N6" s="8">
        <f>B6</f>
        <v>-267404.74</v>
      </c>
    </row>
    <row r="7" spans="1:18" ht="20.25" customHeight="1" thickBot="1" x14ac:dyDescent="0.3">
      <c r="A7" s="9" t="s">
        <v>12</v>
      </c>
      <c r="B7" s="10">
        <f>SUM(B8:B14)</f>
        <v>37539.829999999994</v>
      </c>
      <c r="C7" s="10">
        <f t="shared" ref="C7:M7" si="10">SUM(C8:C14)</f>
        <v>45024.509999999995</v>
      </c>
      <c r="D7" s="10">
        <f t="shared" si="10"/>
        <v>38689.789999999994</v>
      </c>
      <c r="E7" s="10">
        <f t="shared" si="10"/>
        <v>39282.54</v>
      </c>
      <c r="F7" s="10">
        <f t="shared" si="10"/>
        <v>37412.939999999995</v>
      </c>
      <c r="G7" s="10">
        <f t="shared" si="10"/>
        <v>45734.87999999999</v>
      </c>
      <c r="H7" s="10">
        <f t="shared" si="10"/>
        <v>45734.87999999999</v>
      </c>
      <c r="I7" s="10">
        <f t="shared" si="10"/>
        <v>45744.719999999994</v>
      </c>
      <c r="J7" s="10">
        <f t="shared" si="10"/>
        <v>45744.719999999994</v>
      </c>
      <c r="K7" s="10">
        <f t="shared" si="10"/>
        <v>61238.51999999999</v>
      </c>
      <c r="L7" s="10">
        <f t="shared" si="10"/>
        <v>45544.719999999994</v>
      </c>
      <c r="M7" s="10">
        <f t="shared" si="10"/>
        <v>45544.719999999994</v>
      </c>
      <c r="N7" s="10">
        <f>SUM(B7:M7)</f>
        <v>533236.7699999999</v>
      </c>
    </row>
    <row r="8" spans="1:18" ht="24.75" customHeight="1" thickBot="1" x14ac:dyDescent="0.3">
      <c r="A8" s="4" t="s">
        <v>25</v>
      </c>
      <c r="B8" s="11">
        <f>32383.26+1477.46</f>
        <v>33860.720000000001</v>
      </c>
      <c r="C8" s="11">
        <f>32383.26+1477.46</f>
        <v>33860.720000000001</v>
      </c>
      <c r="D8" s="11">
        <f>32383.26+1477.46</f>
        <v>33860.720000000001</v>
      </c>
      <c r="E8" s="11">
        <f>32383.26+1477.46</f>
        <v>33860.720000000001</v>
      </c>
      <c r="F8" s="11">
        <f>32383.26+1477.46</f>
        <v>33860.720000000001</v>
      </c>
      <c r="G8" s="11">
        <f t="shared" ref="G8:L8" si="11">40705.2+1477.46</f>
        <v>42182.659999999996</v>
      </c>
      <c r="H8" s="11">
        <f t="shared" si="11"/>
        <v>42182.659999999996</v>
      </c>
      <c r="I8" s="11">
        <f t="shared" si="11"/>
        <v>42182.659999999996</v>
      </c>
      <c r="J8" s="11">
        <f t="shared" si="11"/>
        <v>42182.659999999996</v>
      </c>
      <c r="K8" s="11">
        <f t="shared" si="11"/>
        <v>42182.659999999996</v>
      </c>
      <c r="L8" s="11">
        <f t="shared" si="11"/>
        <v>42182.659999999996</v>
      </c>
      <c r="M8" s="11">
        <f>40705.2+1477.46</f>
        <v>42182.659999999996</v>
      </c>
      <c r="N8" s="11">
        <f>SUM(B8:M8)</f>
        <v>464582.21999999991</v>
      </c>
    </row>
    <row r="9" spans="1:18" ht="24.75" customHeight="1" thickBot="1" x14ac:dyDescent="0.3">
      <c r="A9" s="4" t="s">
        <v>16</v>
      </c>
      <c r="B9" s="11">
        <v>126.89</v>
      </c>
      <c r="C9" s="11">
        <v>49.99</v>
      </c>
      <c r="D9" s="11">
        <v>-1236.3</v>
      </c>
      <c r="E9" s="11">
        <v>23.66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f t="shared" ref="N9:N14" si="12">SUM(B9:M9)</f>
        <v>-1035.76</v>
      </c>
    </row>
    <row r="10" spans="1:18" ht="24.75" customHeight="1" thickBot="1" x14ac:dyDescent="0.3">
      <c r="A10" s="4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f t="shared" si="12"/>
        <v>0</v>
      </c>
    </row>
    <row r="11" spans="1:18" ht="24.75" customHeight="1" thickBot="1" x14ac:dyDescent="0.3">
      <c r="A11" s="4" t="s">
        <v>18</v>
      </c>
      <c r="B11" s="11">
        <v>0</v>
      </c>
      <c r="C11" s="11">
        <v>7561.58</v>
      </c>
      <c r="D11" s="11">
        <v>2513.15</v>
      </c>
      <c r="E11" s="11">
        <v>1845.94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15693.8</v>
      </c>
      <c r="L11" s="11">
        <v>0</v>
      </c>
      <c r="M11" s="11">
        <v>0</v>
      </c>
      <c r="N11" s="11">
        <f t="shared" si="12"/>
        <v>27614.47</v>
      </c>
    </row>
    <row r="12" spans="1:18" ht="24.75" customHeight="1" thickBot="1" x14ac:dyDescent="0.3">
      <c r="A12" s="4" t="s">
        <v>24</v>
      </c>
      <c r="B12" s="11">
        <v>95.02</v>
      </c>
      <c r="C12" s="11">
        <v>95.02</v>
      </c>
      <c r="D12" s="11">
        <v>95.02</v>
      </c>
      <c r="E12" s="11">
        <v>95.02</v>
      </c>
      <c r="F12" s="11">
        <v>95.02</v>
      </c>
      <c r="G12" s="11">
        <v>95.02</v>
      </c>
      <c r="H12" s="11">
        <v>95.02</v>
      </c>
      <c r="I12" s="11">
        <v>104.86</v>
      </c>
      <c r="J12" s="11">
        <v>104.86</v>
      </c>
      <c r="K12" s="11">
        <v>104.86</v>
      </c>
      <c r="L12" s="11">
        <v>104.86</v>
      </c>
      <c r="M12" s="11">
        <v>104.86</v>
      </c>
      <c r="N12" s="11">
        <f t="shared" si="12"/>
        <v>1189.4399999999998</v>
      </c>
    </row>
    <row r="13" spans="1:18" ht="24.75" customHeight="1" thickBot="1" x14ac:dyDescent="0.3">
      <c r="A13" s="4" t="s">
        <v>28</v>
      </c>
      <c r="B13" s="11">
        <v>3157.2</v>
      </c>
      <c r="C13" s="11">
        <v>3157.2</v>
      </c>
      <c r="D13" s="11">
        <v>3157.2</v>
      </c>
      <c r="E13" s="11">
        <v>3157.2</v>
      </c>
      <c r="F13" s="11">
        <v>3157.2</v>
      </c>
      <c r="G13" s="11">
        <v>3157.2</v>
      </c>
      <c r="H13" s="11">
        <v>3157.2</v>
      </c>
      <c r="I13" s="11">
        <v>3157.2</v>
      </c>
      <c r="J13" s="11">
        <v>3157.2</v>
      </c>
      <c r="K13" s="11">
        <v>3157.2</v>
      </c>
      <c r="L13" s="11">
        <v>3157.2</v>
      </c>
      <c r="M13" s="11">
        <v>3157.2</v>
      </c>
      <c r="N13" s="11">
        <f t="shared" si="12"/>
        <v>37886.400000000001</v>
      </c>
    </row>
    <row r="14" spans="1:18" ht="24.75" customHeight="1" thickBot="1" x14ac:dyDescent="0.3">
      <c r="A14" s="4" t="s">
        <v>14</v>
      </c>
      <c r="B14" s="11">
        <f>600-300</f>
        <v>300</v>
      </c>
      <c r="C14" s="11">
        <f t="shared" ref="C14:J14" si="13">600-300</f>
        <v>300</v>
      </c>
      <c r="D14" s="11">
        <f t="shared" si="13"/>
        <v>300</v>
      </c>
      <c r="E14" s="11">
        <f t="shared" si="13"/>
        <v>300</v>
      </c>
      <c r="F14" s="11">
        <f t="shared" si="13"/>
        <v>300</v>
      </c>
      <c r="G14" s="11">
        <f t="shared" si="13"/>
        <v>300</v>
      </c>
      <c r="H14" s="11">
        <f t="shared" si="13"/>
        <v>300</v>
      </c>
      <c r="I14" s="11">
        <f t="shared" si="13"/>
        <v>300</v>
      </c>
      <c r="J14" s="11">
        <f t="shared" si="13"/>
        <v>300</v>
      </c>
      <c r="K14" s="11">
        <v>100</v>
      </c>
      <c r="L14" s="11">
        <v>100</v>
      </c>
      <c r="M14" s="11">
        <v>100</v>
      </c>
      <c r="N14" s="11">
        <f t="shared" si="12"/>
        <v>3000</v>
      </c>
    </row>
    <row r="15" spans="1:18" ht="20.25" customHeight="1" thickBot="1" x14ac:dyDescent="0.3">
      <c r="A15" s="12" t="s">
        <v>8</v>
      </c>
      <c r="B15" s="13">
        <f>SUM(B16:B22)</f>
        <v>32014.850000000002</v>
      </c>
      <c r="C15" s="13">
        <f t="shared" ref="C15:M15" si="14">SUM(C16:C22)</f>
        <v>80836.14999999998</v>
      </c>
      <c r="D15" s="13">
        <f t="shared" si="14"/>
        <v>40557.440000000002</v>
      </c>
      <c r="E15" s="13">
        <f t="shared" si="14"/>
        <v>30391.79</v>
      </c>
      <c r="F15" s="13">
        <f t="shared" si="14"/>
        <v>34169.53</v>
      </c>
      <c r="G15" s="13">
        <f t="shared" si="14"/>
        <v>35490.31</v>
      </c>
      <c r="H15" s="13">
        <f t="shared" si="14"/>
        <v>64185.520000000011</v>
      </c>
      <c r="I15" s="13">
        <f t="shared" si="14"/>
        <v>39815.03</v>
      </c>
      <c r="J15" s="13">
        <f t="shared" si="14"/>
        <v>52469.68</v>
      </c>
      <c r="K15" s="13">
        <f t="shared" si="14"/>
        <v>46621.53</v>
      </c>
      <c r="L15" s="13">
        <f t="shared" si="14"/>
        <v>49943.17</v>
      </c>
      <c r="M15" s="13">
        <f t="shared" si="14"/>
        <v>39862.22</v>
      </c>
      <c r="N15" s="13">
        <f>SUM(B15:M15)</f>
        <v>546357.22</v>
      </c>
    </row>
    <row r="16" spans="1:18" ht="24" customHeight="1" thickBot="1" x14ac:dyDescent="0.3">
      <c r="A16" s="4" t="s">
        <v>26</v>
      </c>
      <c r="B16" s="11">
        <f>27465.85+41.16+1154.95</f>
        <v>28661.96</v>
      </c>
      <c r="C16" s="11">
        <f>67506.84+3426.12</f>
        <v>70932.959999999992</v>
      </c>
      <c r="D16" s="11">
        <f>29017.28+1281.87</f>
        <v>30299.149999999998</v>
      </c>
      <c r="E16" s="11">
        <f>24870.96+1176.33</f>
        <v>26047.29</v>
      </c>
      <c r="F16" s="11">
        <f>28488.97+1315.07</f>
        <v>29804.04</v>
      </c>
      <c r="G16" s="11">
        <f>30660.89+34.37+32.37+1411.83+71.3</f>
        <v>32210.76</v>
      </c>
      <c r="H16" s="11">
        <f>57243.14+41.16+1580.18</f>
        <v>58864.480000000003</v>
      </c>
      <c r="I16" s="11">
        <f>35145.64+1328.11</f>
        <v>36473.75</v>
      </c>
      <c r="J16" s="11">
        <f>45614.43+1631.04</f>
        <v>47245.47</v>
      </c>
      <c r="K16" s="11">
        <f>40933.4+41.16+1435.14</f>
        <v>42409.700000000004</v>
      </c>
      <c r="L16" s="11">
        <f>33822.27+41.16+1187.17</f>
        <v>35050.6</v>
      </c>
      <c r="M16" s="11">
        <f>35246.54+1275.6</f>
        <v>36522.14</v>
      </c>
      <c r="N16" s="11">
        <f>SUM(B16:M16)</f>
        <v>474522.3</v>
      </c>
    </row>
    <row r="17" spans="1:15" ht="26.25" customHeight="1" thickBot="1" x14ac:dyDescent="0.3">
      <c r="A17" s="4" t="s">
        <v>16</v>
      </c>
      <c r="B17" s="11">
        <v>65.23</v>
      </c>
      <c r="C17" s="11">
        <v>1393.79</v>
      </c>
      <c r="D17" s="11">
        <v>53.83</v>
      </c>
      <c r="E17" s="11">
        <v>16.559999999999999</v>
      </c>
      <c r="F17" s="11">
        <v>16.350000000000001</v>
      </c>
      <c r="G17" s="11">
        <v>109.62</v>
      </c>
      <c r="H17" s="11">
        <v>237.08</v>
      </c>
      <c r="I17" s="11">
        <v>24.32</v>
      </c>
      <c r="J17" s="11">
        <v>19.29</v>
      </c>
      <c r="K17" s="11">
        <v>18.96</v>
      </c>
      <c r="L17" s="11">
        <v>18.52</v>
      </c>
      <c r="M17" s="11">
        <v>18.21</v>
      </c>
      <c r="N17" s="11">
        <f>SUM(B17:M17)</f>
        <v>1991.7599999999995</v>
      </c>
    </row>
    <row r="18" spans="1:15" ht="26.25" customHeight="1" thickBot="1" x14ac:dyDescent="0.3">
      <c r="A18" s="4" t="s">
        <v>17</v>
      </c>
      <c r="B18" s="11">
        <v>3.33</v>
      </c>
      <c r="C18" s="11">
        <v>3.28</v>
      </c>
      <c r="D18" s="11">
        <v>3.23</v>
      </c>
      <c r="E18" s="11">
        <v>3.19</v>
      </c>
      <c r="F18" s="11">
        <v>3.15</v>
      </c>
      <c r="G18" s="11">
        <v>21.14</v>
      </c>
      <c r="H18" s="11">
        <v>7.07</v>
      </c>
      <c r="I18" s="11">
        <v>3.78</v>
      </c>
      <c r="J18" s="11">
        <v>3.72</v>
      </c>
      <c r="K18" s="11">
        <v>3.65</v>
      </c>
      <c r="L18" s="11">
        <v>3.57</v>
      </c>
      <c r="M18" s="11">
        <v>3.51</v>
      </c>
      <c r="N18" s="11">
        <f t="shared" ref="N18:N22" si="15">SUM(B18:M18)</f>
        <v>62.62</v>
      </c>
    </row>
    <row r="19" spans="1:15" ht="26.25" customHeight="1" thickBot="1" x14ac:dyDescent="0.3">
      <c r="A19" s="4" t="s">
        <v>18</v>
      </c>
      <c r="B19" s="11">
        <v>38.56</v>
      </c>
      <c r="C19" s="11">
        <v>2402.6799999999998</v>
      </c>
      <c r="D19" s="11">
        <v>6254.78</v>
      </c>
      <c r="E19" s="11">
        <v>1860.05</v>
      </c>
      <c r="F19" s="11">
        <v>1510.84</v>
      </c>
      <c r="G19" s="11">
        <v>271.93</v>
      </c>
      <c r="H19" s="11">
        <v>1315.79</v>
      </c>
      <c r="I19" s="11">
        <v>356.27</v>
      </c>
      <c r="J19" s="11">
        <v>190.31</v>
      </c>
      <c r="K19" s="11">
        <v>955.31</v>
      </c>
      <c r="L19" s="11">
        <v>12116</v>
      </c>
      <c r="M19" s="11">
        <v>489.72</v>
      </c>
      <c r="N19" s="11">
        <f t="shared" si="15"/>
        <v>27762.240000000002</v>
      </c>
    </row>
    <row r="20" spans="1:15" ht="26.25" customHeight="1" thickBot="1" x14ac:dyDescent="0.3">
      <c r="A20" s="4" t="s">
        <v>24</v>
      </c>
      <c r="B20" s="11">
        <v>2.4700000000000002</v>
      </c>
      <c r="C20" s="11">
        <v>182.8</v>
      </c>
      <c r="D20" s="11">
        <v>2.4700000000000002</v>
      </c>
      <c r="E20" s="11">
        <v>2.4700000000000002</v>
      </c>
      <c r="F20" s="11">
        <v>6.56</v>
      </c>
      <c r="G20" s="11">
        <v>16.8</v>
      </c>
      <c r="H20" s="11">
        <v>110.55</v>
      </c>
      <c r="I20" s="11">
        <v>33.32</v>
      </c>
      <c r="J20" s="11">
        <v>90.59</v>
      </c>
      <c r="K20" s="11">
        <v>101.45</v>
      </c>
      <c r="L20" s="11">
        <v>85.55</v>
      </c>
      <c r="M20" s="11">
        <v>90.67</v>
      </c>
      <c r="N20" s="11">
        <f t="shared" si="15"/>
        <v>725.69999999999993</v>
      </c>
    </row>
    <row r="21" spans="1:15" ht="26.25" customHeight="1" thickBot="1" x14ac:dyDescent="0.3">
      <c r="A21" s="4" t="s">
        <v>28</v>
      </c>
      <c r="B21" s="11">
        <v>2543.3000000000002</v>
      </c>
      <c r="C21" s="11">
        <v>5820.64</v>
      </c>
      <c r="D21" s="11">
        <v>2643.98</v>
      </c>
      <c r="E21" s="11">
        <v>2362.23</v>
      </c>
      <c r="F21" s="11">
        <v>2728.59</v>
      </c>
      <c r="G21" s="11">
        <v>2760.06</v>
      </c>
      <c r="H21" s="11">
        <v>3550.55</v>
      </c>
      <c r="I21" s="11">
        <v>2823.59</v>
      </c>
      <c r="J21" s="11">
        <v>3420.3</v>
      </c>
      <c r="K21" s="11">
        <v>3032.46</v>
      </c>
      <c r="L21" s="11">
        <v>2568.9299999999998</v>
      </c>
      <c r="M21" s="11">
        <v>2637.97</v>
      </c>
      <c r="N21" s="11">
        <f t="shared" si="15"/>
        <v>36892.6</v>
      </c>
    </row>
    <row r="22" spans="1:15" ht="26.25" customHeight="1" thickBot="1" x14ac:dyDescent="0.3">
      <c r="A22" s="4" t="s">
        <v>14</v>
      </c>
      <c r="B22" s="14">
        <f>1000-300</f>
        <v>700</v>
      </c>
      <c r="C22" s="14">
        <f>400-300</f>
        <v>100</v>
      </c>
      <c r="D22" s="14">
        <f>1600-300</f>
        <v>1300</v>
      </c>
      <c r="E22" s="14">
        <f>400-300</f>
        <v>100</v>
      </c>
      <c r="F22" s="14">
        <f t="shared" ref="F22:I22" si="16">400-300</f>
        <v>100</v>
      </c>
      <c r="G22" s="14">
        <f t="shared" si="16"/>
        <v>100</v>
      </c>
      <c r="H22" s="14">
        <f t="shared" si="16"/>
        <v>100</v>
      </c>
      <c r="I22" s="14">
        <f t="shared" si="16"/>
        <v>100</v>
      </c>
      <c r="J22" s="14">
        <v>1500</v>
      </c>
      <c r="K22" s="11">
        <v>100</v>
      </c>
      <c r="L22" s="11">
        <v>100</v>
      </c>
      <c r="M22" s="11">
        <v>100</v>
      </c>
      <c r="N22" s="11">
        <f t="shared" si="15"/>
        <v>4400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>1507.6*0.6</f>
        <v>904.56</v>
      </c>
      <c r="C24" s="11">
        <f t="shared" ref="C24:M24" si="17">1507.6*0.6</f>
        <v>904.56</v>
      </c>
      <c r="D24" s="11">
        <f t="shared" si="17"/>
        <v>904.56</v>
      </c>
      <c r="E24" s="11">
        <f t="shared" si="17"/>
        <v>904.56</v>
      </c>
      <c r="F24" s="11">
        <f t="shared" si="17"/>
        <v>904.56</v>
      </c>
      <c r="G24" s="11">
        <f t="shared" si="17"/>
        <v>904.56</v>
      </c>
      <c r="H24" s="11">
        <f t="shared" si="17"/>
        <v>904.56</v>
      </c>
      <c r="I24" s="11">
        <f t="shared" si="17"/>
        <v>904.56</v>
      </c>
      <c r="J24" s="11">
        <f t="shared" si="17"/>
        <v>904.56</v>
      </c>
      <c r="K24" s="11">
        <f t="shared" si="17"/>
        <v>904.56</v>
      </c>
      <c r="L24" s="11">
        <f t="shared" si="17"/>
        <v>904.56</v>
      </c>
      <c r="M24" s="11">
        <f t="shared" si="17"/>
        <v>904.56</v>
      </c>
      <c r="N24" s="11">
        <f>SUM(B24:M24)</f>
        <v>10854.719999999996</v>
      </c>
    </row>
    <row r="25" spans="1:15" ht="22.5" customHeight="1" thickBot="1" x14ac:dyDescent="0.3">
      <c r="A25" s="4" t="s">
        <v>2</v>
      </c>
      <c r="B25" s="11">
        <f>1507.6*0.17</f>
        <v>256.29200000000003</v>
      </c>
      <c r="C25" s="11">
        <f>1507.6*0.2</f>
        <v>301.52</v>
      </c>
      <c r="D25" s="11">
        <f>1507.6*0.2</f>
        <v>301.52</v>
      </c>
      <c r="E25" s="11">
        <f t="shared" ref="E25:M25" si="18">1507.6*0.2</f>
        <v>301.52</v>
      </c>
      <c r="F25" s="11">
        <f t="shared" si="18"/>
        <v>301.52</v>
      </c>
      <c r="G25" s="11">
        <f t="shared" si="18"/>
        <v>301.52</v>
      </c>
      <c r="H25" s="11">
        <f t="shared" si="18"/>
        <v>301.52</v>
      </c>
      <c r="I25" s="11">
        <f t="shared" si="18"/>
        <v>301.52</v>
      </c>
      <c r="J25" s="11">
        <f t="shared" si="18"/>
        <v>301.52</v>
      </c>
      <c r="K25" s="11">
        <f t="shared" si="18"/>
        <v>301.52</v>
      </c>
      <c r="L25" s="11">
        <f t="shared" si="18"/>
        <v>301.52</v>
      </c>
      <c r="M25" s="11">
        <f t="shared" si="18"/>
        <v>301.52</v>
      </c>
      <c r="N25" s="11">
        <f t="shared" ref="N25:N37" si="19">SUM(B25:M25)</f>
        <v>3573.0119999999997</v>
      </c>
    </row>
    <row r="26" spans="1:15" ht="21" customHeight="1" thickBot="1" x14ac:dyDescent="0.3">
      <c r="A26" s="4" t="s">
        <v>3</v>
      </c>
      <c r="B26" s="11">
        <f>37239.83*2.3%</f>
        <v>856.51609000000008</v>
      </c>
      <c r="C26" s="11">
        <f>44724.51*2.6%</f>
        <v>1162.8372600000002</v>
      </c>
      <c r="D26" s="11">
        <f>38389.79*2.6%</f>
        <v>998.13454000000013</v>
      </c>
      <c r="E26" s="11">
        <f>38982.54*2.6%</f>
        <v>1013.5460400000001</v>
      </c>
      <c r="F26" s="11">
        <f>37112.94*2.6%</f>
        <v>964.93644000000018</v>
      </c>
      <c r="G26" s="11">
        <f>45434.88*2.6%</f>
        <v>1181.3068800000001</v>
      </c>
      <c r="H26" s="11">
        <f>45434.88*2.6%</f>
        <v>1181.3068800000001</v>
      </c>
      <c r="I26" s="11">
        <f>45444.72*2.6%</f>
        <v>1181.5627200000001</v>
      </c>
      <c r="J26" s="11">
        <f>45444.72*2.6%</f>
        <v>1181.5627200000001</v>
      </c>
      <c r="K26" s="11">
        <f>61138.52*2.6%</f>
        <v>1589.6015200000002</v>
      </c>
      <c r="L26" s="11">
        <f>45444.72*2.6%</f>
        <v>1181.5627200000001</v>
      </c>
      <c r="M26" s="11">
        <f>45444.72*2.6%</f>
        <v>1181.5627200000001</v>
      </c>
      <c r="N26" s="11">
        <f t="shared" si="19"/>
        <v>13674.436530000001</v>
      </c>
    </row>
    <row r="27" spans="1:15" ht="23.25" customHeight="1" thickBot="1" x14ac:dyDescent="0.3">
      <c r="A27" s="4" t="s">
        <v>4</v>
      </c>
      <c r="B27" s="11">
        <f>31314.85*3%</f>
        <v>939.44549999999992</v>
      </c>
      <c r="C27" s="11">
        <f>80736.15*3%</f>
        <v>2422.0844999999999</v>
      </c>
      <c r="D27" s="11">
        <f>39257.44*3%</f>
        <v>1177.7232000000001</v>
      </c>
      <c r="E27" s="11">
        <f>30291.79*3%</f>
        <v>908.75369999999998</v>
      </c>
      <c r="F27" s="11">
        <f>34069.53*3%</f>
        <v>1022.0858999999999</v>
      </c>
      <c r="G27" s="11">
        <f>35390.31*3%</f>
        <v>1061.7093</v>
      </c>
      <c r="H27" s="11">
        <f>64085.52*3%</f>
        <v>1922.5655999999999</v>
      </c>
      <c r="I27" s="11">
        <f>39715.03*3%</f>
        <v>1191.4508999999998</v>
      </c>
      <c r="J27" s="11">
        <f>50969.68*3%</f>
        <v>1529.0904</v>
      </c>
      <c r="K27" s="11">
        <f>46521.53*3%</f>
        <v>1395.6459</v>
      </c>
      <c r="L27" s="11">
        <f>49843.17*3%</f>
        <v>1495.2950999999998</v>
      </c>
      <c r="M27" s="11">
        <f>39762.22*3%</f>
        <v>1192.8666000000001</v>
      </c>
      <c r="N27" s="11">
        <f t="shared" si="19"/>
        <v>16258.716599999998</v>
      </c>
    </row>
    <row r="28" spans="1:15" ht="23.25" customHeight="1" thickBot="1" x14ac:dyDescent="0.3">
      <c r="A28" s="4" t="s">
        <v>9</v>
      </c>
      <c r="B28" s="19">
        <f>1507.6*12</f>
        <v>18091.199999999997</v>
      </c>
      <c r="C28" s="19">
        <f t="shared" ref="C28:M28" si="20">1507.6*12</f>
        <v>18091.199999999997</v>
      </c>
      <c r="D28" s="19">
        <f t="shared" si="20"/>
        <v>18091.199999999997</v>
      </c>
      <c r="E28" s="19">
        <f t="shared" si="20"/>
        <v>18091.199999999997</v>
      </c>
      <c r="F28" s="19">
        <f t="shared" si="20"/>
        <v>18091.199999999997</v>
      </c>
      <c r="G28" s="19">
        <f t="shared" si="20"/>
        <v>18091.199999999997</v>
      </c>
      <c r="H28" s="19">
        <f t="shared" si="20"/>
        <v>18091.199999999997</v>
      </c>
      <c r="I28" s="19">
        <f t="shared" si="20"/>
        <v>18091.199999999997</v>
      </c>
      <c r="J28" s="19">
        <f t="shared" si="20"/>
        <v>18091.199999999997</v>
      </c>
      <c r="K28" s="19">
        <f t="shared" si="20"/>
        <v>18091.199999999997</v>
      </c>
      <c r="L28" s="19">
        <f t="shared" si="20"/>
        <v>18091.199999999997</v>
      </c>
      <c r="M28" s="19">
        <f t="shared" si="20"/>
        <v>18091.199999999997</v>
      </c>
      <c r="N28" s="11">
        <f t="shared" si="19"/>
        <v>217094.40000000002</v>
      </c>
    </row>
    <row r="29" spans="1:15" ht="21.6" customHeight="1" thickBot="1" x14ac:dyDescent="0.3">
      <c r="A29" s="4" t="s">
        <v>19</v>
      </c>
      <c r="B29" s="11">
        <f>0+50.02</f>
        <v>50.02</v>
      </c>
      <c r="C29" s="11">
        <f>0+76</f>
        <v>76</v>
      </c>
      <c r="D29" s="11">
        <f>0+23.67</f>
        <v>23.67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 t="shared" si="19"/>
        <v>149.69</v>
      </c>
    </row>
    <row r="30" spans="1:15" ht="26.25" customHeight="1" thickBot="1" x14ac:dyDescent="0.3">
      <c r="A30" s="4" t="s">
        <v>20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19"/>
        <v>0</v>
      </c>
    </row>
    <row r="31" spans="1:15" ht="26.25" customHeight="1" thickBot="1" x14ac:dyDescent="0.3">
      <c r="A31" s="4" t="s">
        <v>21</v>
      </c>
      <c r="B31" s="11">
        <v>7561.6</v>
      </c>
      <c r="C31" s="11">
        <v>2513.12</v>
      </c>
      <c r="D31" s="11">
        <v>1845.92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15693.82</v>
      </c>
      <c r="K31" s="11">
        <v>0</v>
      </c>
      <c r="L31" s="11">
        <v>0</v>
      </c>
      <c r="M31" s="11">
        <v>4788.8999999999996</v>
      </c>
      <c r="N31" s="11">
        <f t="shared" si="19"/>
        <v>32403.360000000001</v>
      </c>
    </row>
    <row r="32" spans="1:15" ht="21" customHeight="1" thickBot="1" x14ac:dyDescent="0.3">
      <c r="A32" s="4" t="s">
        <v>24</v>
      </c>
      <c r="B32" s="11">
        <f>95.02+0</f>
        <v>95.02</v>
      </c>
      <c r="C32" s="11">
        <f t="shared" ref="C32:G32" si="21">95.02+0</f>
        <v>95.02</v>
      </c>
      <c r="D32" s="11">
        <f t="shared" si="21"/>
        <v>95.02</v>
      </c>
      <c r="E32" s="11">
        <f t="shared" si="21"/>
        <v>95.02</v>
      </c>
      <c r="F32" s="11">
        <f t="shared" si="21"/>
        <v>95.02</v>
      </c>
      <c r="G32" s="11">
        <f t="shared" si="21"/>
        <v>95.02</v>
      </c>
      <c r="H32" s="11">
        <f>104.86+0</f>
        <v>104.86</v>
      </c>
      <c r="I32" s="11">
        <f t="shared" ref="I32:M32" si="22">104.86+0</f>
        <v>104.86</v>
      </c>
      <c r="J32" s="11">
        <f t="shared" si="22"/>
        <v>104.86</v>
      </c>
      <c r="K32" s="11">
        <f t="shared" si="22"/>
        <v>104.86</v>
      </c>
      <c r="L32" s="11">
        <f t="shared" si="22"/>
        <v>104.86</v>
      </c>
      <c r="M32" s="11">
        <f t="shared" si="22"/>
        <v>104.86</v>
      </c>
      <c r="N32" s="11">
        <f t="shared" si="19"/>
        <v>1199.28</v>
      </c>
    </row>
    <row r="33" spans="1:14" ht="22.5" customHeight="1" thickBot="1" x14ac:dyDescent="0.3">
      <c r="A33" s="4" t="s">
        <v>6</v>
      </c>
      <c r="B33" s="19">
        <f>1507.6*3.22</f>
        <v>4854.4719999999998</v>
      </c>
      <c r="C33" s="19">
        <f t="shared" ref="C33:F33" si="23">1507.6*3.22</f>
        <v>4854.4719999999998</v>
      </c>
      <c r="D33" s="19">
        <f t="shared" si="23"/>
        <v>4854.4719999999998</v>
      </c>
      <c r="E33" s="19">
        <f t="shared" si="23"/>
        <v>4854.4719999999998</v>
      </c>
      <c r="F33" s="19">
        <f t="shared" si="23"/>
        <v>4854.4719999999998</v>
      </c>
      <c r="G33" s="19">
        <f>1507.6*4.05</f>
        <v>6105.78</v>
      </c>
      <c r="H33" s="19">
        <f t="shared" ref="H33:M33" si="24">1507.6*4.05</f>
        <v>6105.78</v>
      </c>
      <c r="I33" s="19">
        <f t="shared" si="24"/>
        <v>6105.78</v>
      </c>
      <c r="J33" s="19">
        <f t="shared" si="24"/>
        <v>6105.78</v>
      </c>
      <c r="K33" s="19">
        <f t="shared" si="24"/>
        <v>6105.78</v>
      </c>
      <c r="L33" s="19">
        <f t="shared" si="24"/>
        <v>6105.78</v>
      </c>
      <c r="M33" s="19">
        <f t="shared" si="24"/>
        <v>6105.78</v>
      </c>
      <c r="N33" s="11">
        <f t="shared" si="19"/>
        <v>67012.819999999992</v>
      </c>
    </row>
    <row r="34" spans="1:14" ht="21.75" customHeight="1" thickBot="1" x14ac:dyDescent="0.3">
      <c r="A34" s="4" t="s">
        <v>28</v>
      </c>
      <c r="B34" s="11">
        <v>2515.4</v>
      </c>
      <c r="C34" s="11">
        <v>2212.3000000000002</v>
      </c>
      <c r="D34" s="11">
        <v>5063.6400000000003</v>
      </c>
      <c r="E34" s="11">
        <v>2299.98</v>
      </c>
      <c r="F34" s="11">
        <v>2055.23</v>
      </c>
      <c r="G34" s="11">
        <v>2373.59</v>
      </c>
      <c r="H34" s="11">
        <v>2401.06</v>
      </c>
      <c r="I34" s="11">
        <v>3088.55</v>
      </c>
      <c r="J34" s="11">
        <v>2456.59</v>
      </c>
      <c r="K34" s="11">
        <v>2975.3</v>
      </c>
      <c r="L34" s="11">
        <v>2638.46</v>
      </c>
      <c r="M34" s="11">
        <v>2234.9299999999998</v>
      </c>
      <c r="N34" s="11">
        <f t="shared" ref="N34:N35" si="25">SUM(B34:M34)</f>
        <v>32315.03</v>
      </c>
    </row>
    <row r="35" spans="1:14" ht="21.75" customHeight="1" thickBot="1" x14ac:dyDescent="0.3">
      <c r="A35" s="4" t="s">
        <v>29</v>
      </c>
      <c r="B35" s="11">
        <v>376</v>
      </c>
      <c r="C35" s="11">
        <v>331</v>
      </c>
      <c r="D35" s="11">
        <v>757</v>
      </c>
      <c r="E35" s="11">
        <v>344</v>
      </c>
      <c r="F35" s="11">
        <v>307</v>
      </c>
      <c r="G35" s="11">
        <v>355</v>
      </c>
      <c r="H35" s="11">
        <v>359</v>
      </c>
      <c r="I35" s="11">
        <v>462</v>
      </c>
      <c r="J35" s="11">
        <v>367</v>
      </c>
      <c r="K35" s="11">
        <v>445</v>
      </c>
      <c r="L35" s="11">
        <v>394</v>
      </c>
      <c r="M35" s="11">
        <v>334</v>
      </c>
      <c r="N35" s="11">
        <f t="shared" si="25"/>
        <v>4831</v>
      </c>
    </row>
    <row r="36" spans="1:14" ht="22.5" customHeight="1" thickBot="1" x14ac:dyDescent="0.3">
      <c r="A36" s="4" t="s">
        <v>27</v>
      </c>
      <c r="B36" s="11">
        <v>1000</v>
      </c>
      <c r="C36" s="11">
        <v>1000</v>
      </c>
      <c r="D36" s="11">
        <v>1000</v>
      </c>
      <c r="E36" s="11">
        <v>1000</v>
      </c>
      <c r="F36" s="11">
        <v>1000</v>
      </c>
      <c r="G36" s="11">
        <v>1000</v>
      </c>
      <c r="H36" s="11">
        <v>1000</v>
      </c>
      <c r="I36" s="11">
        <v>1000</v>
      </c>
      <c r="J36" s="11">
        <v>1000</v>
      </c>
      <c r="K36" s="11">
        <v>1000</v>
      </c>
      <c r="L36" s="11">
        <v>1000</v>
      </c>
      <c r="M36" s="11">
        <v>1000</v>
      </c>
      <c r="N36" s="11">
        <f t="shared" si="19"/>
        <v>12000</v>
      </c>
    </row>
    <row r="37" spans="1:14" ht="24" customHeight="1" thickBot="1" x14ac:dyDescent="0.3">
      <c r="A37" s="4" t="s">
        <v>10</v>
      </c>
      <c r="B37" s="11">
        <f>105+489.9</f>
        <v>594.9</v>
      </c>
      <c r="C37" s="11">
        <v>0</v>
      </c>
      <c r="D37" s="11">
        <f>3490.3</f>
        <v>3490.3</v>
      </c>
      <c r="E37" s="11">
        <v>0</v>
      </c>
      <c r="F37" s="11">
        <f>3846.8</f>
        <v>3846.8</v>
      </c>
      <c r="G37" s="11">
        <f>105+15960+45107.5</f>
        <v>61172.5</v>
      </c>
      <c r="H37" s="11">
        <f>3438.3</f>
        <v>3438.3</v>
      </c>
      <c r="I37" s="11">
        <f>10709</f>
        <v>10709</v>
      </c>
      <c r="J37" s="11">
        <f>1178.9+1896.3</f>
        <v>3075.2</v>
      </c>
      <c r="K37" s="11">
        <f>3244.1+3327.6</f>
        <v>6571.7</v>
      </c>
      <c r="L37" s="11">
        <v>0</v>
      </c>
      <c r="M37" s="11">
        <f>3363.7</f>
        <v>3363.7</v>
      </c>
      <c r="N37" s="11">
        <f t="shared" si="19"/>
        <v>96262.399999999994</v>
      </c>
    </row>
    <row r="38" spans="1:14" ht="22.5" customHeight="1" thickBot="1" x14ac:dyDescent="0.3">
      <c r="A38" s="9" t="s">
        <v>22</v>
      </c>
      <c r="B38" s="10">
        <f t="shared" ref="B38:M38" si="26">SUM(B24:B37)</f>
        <v>38095.425589999999</v>
      </c>
      <c r="C38" s="10">
        <f t="shared" si="26"/>
        <v>33964.113759999993</v>
      </c>
      <c r="D38" s="10">
        <f t="shared" si="26"/>
        <v>38603.159739999996</v>
      </c>
      <c r="E38" s="10">
        <f t="shared" si="26"/>
        <v>29813.051739999999</v>
      </c>
      <c r="F38" s="10">
        <f t="shared" si="26"/>
        <v>33442.824339999999</v>
      </c>
      <c r="G38" s="10">
        <f t="shared" si="26"/>
        <v>92642.18617999999</v>
      </c>
      <c r="H38" s="10">
        <f t="shared" si="26"/>
        <v>35810.152479999997</v>
      </c>
      <c r="I38" s="10">
        <f t="shared" si="26"/>
        <v>43140.483619999999</v>
      </c>
      <c r="J38" s="10">
        <f t="shared" si="26"/>
        <v>50811.183119999987</v>
      </c>
      <c r="K38" s="10">
        <f t="shared" si="26"/>
        <v>39485.167419999998</v>
      </c>
      <c r="L38" s="10">
        <f t="shared" si="26"/>
        <v>32217.237819999995</v>
      </c>
      <c r="M38" s="10">
        <f t="shared" si="26"/>
        <v>39603.879319999993</v>
      </c>
      <c r="N38" s="10">
        <f>SUM(B38:M38)</f>
        <v>507628.86512999993</v>
      </c>
    </row>
    <row r="39" spans="1:14" ht="23.25" customHeight="1" thickBot="1" x14ac:dyDescent="0.3">
      <c r="A39" s="4" t="s">
        <v>5</v>
      </c>
      <c r="B39" s="18">
        <f t="shared" ref="B39:M39" si="27">B15-B38</f>
        <v>-6080.5755899999967</v>
      </c>
      <c r="C39" s="18">
        <f t="shared" si="27"/>
        <v>46872.036239999987</v>
      </c>
      <c r="D39" s="18">
        <f t="shared" si="27"/>
        <v>1954.2802600000068</v>
      </c>
      <c r="E39" s="18">
        <f t="shared" si="27"/>
        <v>578.7382600000019</v>
      </c>
      <c r="F39" s="18">
        <f t="shared" si="27"/>
        <v>726.70565999999963</v>
      </c>
      <c r="G39" s="18">
        <f t="shared" si="27"/>
        <v>-57151.876179999992</v>
      </c>
      <c r="H39" s="18">
        <f t="shared" si="27"/>
        <v>28375.367520000014</v>
      </c>
      <c r="I39" s="18">
        <f t="shared" si="27"/>
        <v>-3325.4536200000002</v>
      </c>
      <c r="J39" s="18">
        <f t="shared" si="27"/>
        <v>1658.4968800000133</v>
      </c>
      <c r="K39" s="18">
        <f t="shared" si="27"/>
        <v>7136.3625800000009</v>
      </c>
      <c r="L39" s="18">
        <f t="shared" si="27"/>
        <v>17725.932180000003</v>
      </c>
      <c r="M39" s="18">
        <f t="shared" si="27"/>
        <v>258.34068000000843</v>
      </c>
      <c r="N39" s="11">
        <f>SUM(B39:M39)</f>
        <v>38728.354870000054</v>
      </c>
    </row>
    <row r="40" spans="1:14" ht="23.25" customHeight="1" thickBot="1" x14ac:dyDescent="0.3">
      <c r="A40" s="4" t="s">
        <v>7</v>
      </c>
      <c r="B40" s="14">
        <f t="shared" ref="B40:N40" si="28">B5+B39</f>
        <v>55785.72441000001</v>
      </c>
      <c r="C40" s="14">
        <f t="shared" si="28"/>
        <v>102657.76065</v>
      </c>
      <c r="D40" s="14">
        <f t="shared" si="28"/>
        <v>104612.04091000001</v>
      </c>
      <c r="E40" s="14">
        <f t="shared" si="28"/>
        <v>105190.77917000001</v>
      </c>
      <c r="F40" s="14">
        <f t="shared" si="28"/>
        <v>105917.48483</v>
      </c>
      <c r="G40" s="14">
        <f t="shared" si="28"/>
        <v>48765.608650000009</v>
      </c>
      <c r="H40" s="20">
        <f t="shared" si="28"/>
        <v>77140.976170000024</v>
      </c>
      <c r="I40" s="20">
        <f t="shared" si="28"/>
        <v>73815.522550000023</v>
      </c>
      <c r="J40" s="20">
        <f t="shared" si="28"/>
        <v>75474.019430000044</v>
      </c>
      <c r="K40" s="20">
        <f t="shared" si="28"/>
        <v>82610.382010000045</v>
      </c>
      <c r="L40" s="20">
        <f t="shared" si="28"/>
        <v>100336.31419000005</v>
      </c>
      <c r="M40" s="20">
        <f t="shared" si="28"/>
        <v>100594.65487000006</v>
      </c>
      <c r="N40" s="20">
        <f t="shared" si="28"/>
        <v>100594.65487000006</v>
      </c>
    </row>
    <row r="41" spans="1:14" ht="27" customHeight="1" thickBot="1" x14ac:dyDescent="0.3">
      <c r="A41" s="15" t="s">
        <v>11</v>
      </c>
      <c r="B41" s="14">
        <f>B6-B7+B15</f>
        <v>-272929.72000000003</v>
      </c>
      <c r="C41" s="14">
        <f t="shared" ref="C41:N41" si="29">C6-C7+C15</f>
        <v>-237118.08000000007</v>
      </c>
      <c r="D41" s="14">
        <f t="shared" si="29"/>
        <v>-235250.43000000005</v>
      </c>
      <c r="E41" s="14">
        <f t="shared" si="29"/>
        <v>-244141.18000000002</v>
      </c>
      <c r="F41" s="14">
        <f t="shared" si="29"/>
        <v>-247384.59</v>
      </c>
      <c r="G41" s="14">
        <f t="shared" si="29"/>
        <v>-257629.15999999997</v>
      </c>
      <c r="H41" s="14">
        <f t="shared" si="29"/>
        <v>-239178.51999999996</v>
      </c>
      <c r="I41" s="14">
        <f t="shared" si="29"/>
        <v>-245108.20999999993</v>
      </c>
      <c r="J41" s="14">
        <f t="shared" si="29"/>
        <v>-238383.24999999994</v>
      </c>
      <c r="K41" s="14">
        <f t="shared" si="29"/>
        <v>-253000.2399999999</v>
      </c>
      <c r="L41" s="14">
        <f t="shared" si="29"/>
        <v>-248601.78999999992</v>
      </c>
      <c r="M41" s="14">
        <f t="shared" si="29"/>
        <v>-254284.28999999989</v>
      </c>
      <c r="N41" s="14">
        <f t="shared" si="29"/>
        <v>-254284.28999999992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2026-02-16T08:29:21Z</cp:lastPrinted>
  <dcterms:created xsi:type="dcterms:W3CDTF">2011-06-06T03:25:48Z</dcterms:created>
  <dcterms:modified xsi:type="dcterms:W3CDTF">2026-02-16T08:37:44Z</dcterms:modified>
</cp:coreProperties>
</file>