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5" sheetId="1" r:id="rId1"/>
  </sheets>
  <calcPr calcId="144525" refMode="R1C1"/>
</workbook>
</file>

<file path=xl/calcChain.xml><?xml version="1.0" encoding="utf-8"?>
<calcChain xmlns="http://schemas.openxmlformats.org/spreadsheetml/2006/main">
  <c r="M23" i="1" l="1"/>
  <c r="M20" i="1"/>
  <c r="M14" i="1"/>
  <c r="M11" i="1"/>
  <c r="L14" i="1"/>
  <c r="L11" i="1"/>
  <c r="K14" i="1"/>
  <c r="K11" i="1"/>
  <c r="M39" i="1" l="1"/>
  <c r="K39" i="1" l="1"/>
  <c r="L39" i="1" l="1"/>
  <c r="K34" i="1" l="1"/>
  <c r="L34" i="1"/>
  <c r="M34" i="1"/>
  <c r="M29" i="1" l="1"/>
  <c r="M17" i="1"/>
  <c r="M28" i="1"/>
  <c r="M8" i="1"/>
  <c r="L29" i="1" l="1"/>
  <c r="L17" i="1"/>
  <c r="L28" i="1"/>
  <c r="L8" i="1"/>
  <c r="K29" i="1" l="1"/>
  <c r="K17" i="1"/>
  <c r="K28" i="1"/>
  <c r="K8" i="1"/>
  <c r="K35" i="1" l="1"/>
  <c r="L35" i="1"/>
  <c r="M35" i="1"/>
  <c r="K30" i="1"/>
  <c r="L30" i="1"/>
  <c r="M30" i="1"/>
  <c r="K27" i="1"/>
  <c r="L27" i="1"/>
  <c r="M27" i="1"/>
  <c r="K26" i="1"/>
  <c r="L26" i="1"/>
  <c r="M26" i="1"/>
  <c r="J23" i="1" l="1"/>
  <c r="J20" i="1"/>
  <c r="J14" i="1"/>
  <c r="J11" i="1"/>
  <c r="I23" i="1"/>
  <c r="I20" i="1"/>
  <c r="I14" i="1"/>
  <c r="I11" i="1"/>
  <c r="I18" i="1"/>
  <c r="H23" i="1"/>
  <c r="H21" i="1"/>
  <c r="H20" i="1"/>
  <c r="H14" i="1"/>
  <c r="H11" i="1"/>
  <c r="H24" i="1" l="1"/>
  <c r="I24" i="1"/>
  <c r="H15" i="1"/>
  <c r="I15" i="1"/>
  <c r="J15" i="1"/>
  <c r="C24" i="1" l="1"/>
  <c r="D24" i="1"/>
  <c r="E24" i="1"/>
  <c r="F24" i="1"/>
  <c r="G24" i="1"/>
  <c r="B24" i="1"/>
  <c r="C15" i="1"/>
  <c r="D15" i="1"/>
  <c r="E15" i="1"/>
  <c r="F15" i="1"/>
  <c r="G15" i="1"/>
  <c r="B15" i="1"/>
  <c r="I34" i="1" l="1"/>
  <c r="J34" i="1"/>
  <c r="H34" i="1"/>
  <c r="J29" i="1" l="1"/>
  <c r="J17" i="1"/>
  <c r="J28" i="1"/>
  <c r="J8" i="1"/>
  <c r="I29" i="1" l="1"/>
  <c r="I17" i="1"/>
  <c r="I28" i="1"/>
  <c r="I8" i="1"/>
  <c r="H29" i="1" l="1"/>
  <c r="H17" i="1"/>
  <c r="H28" i="1"/>
  <c r="H8" i="1"/>
  <c r="H30" i="1"/>
  <c r="I30" i="1"/>
  <c r="J30" i="1"/>
  <c r="H27" i="1"/>
  <c r="I27" i="1"/>
  <c r="J27" i="1"/>
  <c r="H26" i="1"/>
  <c r="I26" i="1"/>
  <c r="J26" i="1"/>
  <c r="I35" i="1" l="1"/>
  <c r="J35" i="1"/>
  <c r="H35" i="1"/>
  <c r="G39" i="1" l="1"/>
  <c r="G14" i="1" l="1"/>
  <c r="G12" i="1"/>
  <c r="G11" i="1"/>
  <c r="F14" i="1"/>
  <c r="F12" i="1"/>
  <c r="F11" i="1"/>
  <c r="E14" i="1"/>
  <c r="E12" i="1"/>
  <c r="E11" i="1"/>
  <c r="E34" i="1" l="1"/>
  <c r="F34" i="1"/>
  <c r="G34" i="1"/>
  <c r="E39" i="1" l="1"/>
  <c r="G29" i="1" l="1"/>
  <c r="G17" i="1"/>
  <c r="G28" i="1"/>
  <c r="G8" i="1"/>
  <c r="F29" i="1" l="1"/>
  <c r="F17" i="1"/>
  <c r="F28" i="1"/>
  <c r="F8" i="1"/>
  <c r="E29" i="1" l="1"/>
  <c r="E17" i="1"/>
  <c r="E28" i="1"/>
  <c r="E8" i="1"/>
  <c r="E35" i="1" l="1"/>
  <c r="F35" i="1"/>
  <c r="G35" i="1"/>
  <c r="E30" i="1"/>
  <c r="F30" i="1"/>
  <c r="G30" i="1"/>
  <c r="E27" i="1"/>
  <c r="F27" i="1"/>
  <c r="G27" i="1"/>
  <c r="E26" i="1"/>
  <c r="F26" i="1"/>
  <c r="G26" i="1"/>
  <c r="D14" i="1" l="1"/>
  <c r="D12" i="1"/>
  <c r="D11" i="1"/>
  <c r="C14" i="1"/>
  <c r="C11" i="1"/>
  <c r="B14" i="1"/>
  <c r="B11" i="1"/>
  <c r="C34" i="1" l="1"/>
  <c r="D34" i="1"/>
  <c r="B34" i="1"/>
  <c r="C39" i="1" l="1"/>
  <c r="D28" i="1" l="1"/>
  <c r="C30" i="1" l="1"/>
  <c r="D30" i="1"/>
  <c r="B30" i="1"/>
  <c r="C28" i="1"/>
  <c r="D27" i="1"/>
  <c r="C27" i="1"/>
  <c r="D29" i="1" l="1"/>
  <c r="D17" i="1"/>
  <c r="D8" i="1"/>
  <c r="N43" i="1"/>
  <c r="C29" i="1" l="1"/>
  <c r="C17" i="1"/>
  <c r="C8" i="1"/>
  <c r="B29" i="1" l="1"/>
  <c r="B17" i="1"/>
  <c r="B28" i="1"/>
  <c r="B8" i="1"/>
  <c r="C35" i="1" l="1"/>
  <c r="D35" i="1"/>
  <c r="C26" i="1"/>
  <c r="D26" i="1"/>
  <c r="B35" i="1"/>
  <c r="B27" i="1"/>
  <c r="B26" i="1"/>
  <c r="N12" i="1" l="1"/>
  <c r="N13" i="1"/>
  <c r="N14" i="1"/>
  <c r="N15" i="1"/>
  <c r="N11" i="1"/>
  <c r="N9" i="1"/>
  <c r="N18" i="1" l="1"/>
  <c r="N6" i="1" l="1"/>
  <c r="N5" i="1"/>
  <c r="N17" i="1" l="1"/>
  <c r="N8" i="1"/>
  <c r="N26" i="1"/>
  <c r="N27" i="1"/>
  <c r="N30" i="1"/>
  <c r="N31" i="1"/>
  <c r="N32" i="1"/>
  <c r="N33" i="1"/>
  <c r="N34" i="1"/>
  <c r="N35" i="1"/>
  <c r="N36" i="1"/>
  <c r="N37" i="1"/>
  <c r="N38" i="1"/>
  <c r="N19" i="1"/>
  <c r="N20" i="1"/>
  <c r="N21" i="1"/>
  <c r="N22" i="1"/>
  <c r="N23" i="1"/>
  <c r="N24" i="1"/>
  <c r="K16" i="1"/>
  <c r="L16" i="1"/>
  <c r="M16" i="1"/>
  <c r="N10" i="1"/>
  <c r="K7" i="1"/>
  <c r="L7" i="1"/>
  <c r="M7" i="1"/>
  <c r="L40" i="1" l="1"/>
  <c r="L41" i="1" s="1"/>
  <c r="M40" i="1"/>
  <c r="M41" i="1" s="1"/>
  <c r="K40" i="1"/>
  <c r="K41" i="1" s="1"/>
  <c r="N39" i="1"/>
  <c r="H16" i="1" l="1"/>
  <c r="I16" i="1"/>
  <c r="J16" i="1"/>
  <c r="H7" i="1"/>
  <c r="I7" i="1"/>
  <c r="J7" i="1"/>
  <c r="F16" i="1"/>
  <c r="N29" i="1"/>
  <c r="B7" i="1"/>
  <c r="D16" i="1"/>
  <c r="D40" i="1" s="1"/>
  <c r="D41" i="1" s="1"/>
  <c r="D7" i="1"/>
  <c r="C16" i="1"/>
  <c r="C7" i="1"/>
  <c r="B16" i="1"/>
  <c r="C40" i="1" l="1"/>
  <c r="C41" i="1" s="1"/>
  <c r="H40" i="1"/>
  <c r="N28" i="1"/>
  <c r="G16" i="1"/>
  <c r="G7" i="1"/>
  <c r="E16" i="1"/>
  <c r="F7" i="1"/>
  <c r="J40" i="1"/>
  <c r="I40" i="1"/>
  <c r="I41" i="1" s="1"/>
  <c r="E7" i="1"/>
  <c r="B44" i="1"/>
  <c r="C6" i="1" s="1"/>
  <c r="C44" i="1" s="1"/>
  <c r="D6" i="1" s="1"/>
  <c r="D44" i="1" s="1"/>
  <c r="G40" i="1" l="1"/>
  <c r="G41" i="1" s="1"/>
  <c r="E40" i="1"/>
  <c r="E41" i="1" s="1"/>
  <c r="N7" i="1"/>
  <c r="N16" i="1"/>
  <c r="H41" i="1"/>
  <c r="E6" i="1"/>
  <c r="E44" i="1" s="1"/>
  <c r="B40" i="1"/>
  <c r="B41" i="1" s="1"/>
  <c r="B42" i="1" s="1"/>
  <c r="C5" i="1" s="1"/>
  <c r="C42" i="1" s="1"/>
  <c r="J41" i="1"/>
  <c r="F40" i="1"/>
  <c r="F41" i="1" s="1"/>
  <c r="N44" i="1" l="1"/>
  <c r="F6" i="1"/>
  <c r="N40" i="1"/>
  <c r="N41" i="1" s="1"/>
  <c r="N42" i="1" s="1"/>
  <c r="F44" i="1" l="1"/>
  <c r="G6" i="1" s="1"/>
  <c r="G44" i="1" s="1"/>
  <c r="H6" i="1" s="1"/>
  <c r="H44" i="1" s="1"/>
  <c r="D5" i="1"/>
  <c r="D42" i="1" l="1"/>
  <c r="E5" i="1" s="1"/>
  <c r="E42" i="1" s="1"/>
  <c r="F5" i="1" s="1"/>
  <c r="F42" i="1" s="1"/>
  <c r="I6" i="1"/>
  <c r="I44" i="1" s="1"/>
  <c r="J6" i="1" l="1"/>
  <c r="J44" i="1" s="1"/>
  <c r="G5" i="1"/>
  <c r="G42" i="1" s="1"/>
  <c r="K6" i="1" l="1"/>
  <c r="K44" i="1" s="1"/>
  <c r="H5" i="1"/>
  <c r="H42" i="1" s="1"/>
  <c r="L6" i="1" l="1"/>
  <c r="L44" i="1" s="1"/>
  <c r="I5" i="1"/>
  <c r="I42" i="1" s="1"/>
  <c r="M6" i="1" l="1"/>
  <c r="M44" i="1" s="1"/>
  <c r="J5" i="1"/>
  <c r="J42" i="1" s="1"/>
  <c r="K5" i="1" l="1"/>
  <c r="K42" i="1" s="1"/>
  <c r="L5" i="1" l="1"/>
  <c r="L42" i="1" s="1"/>
  <c r="M5" i="1" l="1"/>
  <c r="M42" i="1" s="1"/>
</calcChain>
</file>

<file path=xl/sharedStrings.xml><?xml version="1.0" encoding="utf-8"?>
<sst xmlns="http://schemas.openxmlformats.org/spreadsheetml/2006/main" count="55" uniqueCount="45">
  <si>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</si>
  <si>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</si>
  <si>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</si>
  <si>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</si>
  <si>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</si>
  <si>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</si>
  <si>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</si>
  <si>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</si>
  <si>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</si>
  <si>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</si>
  <si>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</si>
  <si>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</si>
  <si>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</si>
  <si>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</si>
  <si>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Тех.обслуживание газового оборудования</t>
  </si>
  <si>
    <t>Дополнительный доход (использование общего имущества)</t>
  </si>
  <si>
    <t>Средства на счете дома на начало периода</t>
  </si>
  <si>
    <t>Содержание жилья и текущий ремонт /нежилые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</si>
  <si>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</si>
  <si>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</si>
  <si>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</si>
  <si>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</si>
  <si>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</si>
  <si>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</si>
  <si>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</si>
  <si>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</si>
  <si>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Вознаграждение, координация с советом МКД</t>
  </si>
  <si>
    <t>Отведение сточных вод ОИ</t>
  </si>
  <si>
    <t>Тех.обслуживание общедомовых приборов учета</t>
  </si>
  <si>
    <t xml:space="preserve">Содержание жилья и текущий ремонт,  ОПУ </t>
  </si>
  <si>
    <t>Январь 2025г.</t>
  </si>
  <si>
    <t>Февраль 2025г.</t>
  </si>
  <si>
    <t>Март 2025г.</t>
  </si>
  <si>
    <t>Апрель 2025г.</t>
  </si>
  <si>
    <t>Май 2025г.</t>
  </si>
  <si>
    <t>Июнь 2025г.</t>
  </si>
  <si>
    <t>Июль 2025г</t>
  </si>
  <si>
    <t>Август 2025г</t>
  </si>
  <si>
    <t>Сентябрь 2025г</t>
  </si>
  <si>
    <t>Октябрь 2025г</t>
  </si>
  <si>
    <t>Ноябрь 2025г</t>
  </si>
  <si>
    <t>Декабрь 2025г</t>
  </si>
  <si>
    <t>Всего:                       за  2025г.</t>
  </si>
  <si>
    <t xml:space="preserve">Корректировка задолженности </t>
  </si>
  <si>
    <t xml:space="preserve">                 ОТЧЕТ по дому Матросова, 61 за период 01.01.2025г. по 31.12.2025г.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</si>
</sst>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8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Border="1"/>
    <xf numFmtId="0" fontId="5" fillId="0" borderId="3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164" fontId="7" fillId="2" borderId="4" xfId="0" applyNumberFormat="1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vertical="top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0" fontId="7" fillId="4" borderId="3" xfId="0" applyFont="1" applyFill="1" applyBorder="1" applyAlignment="1">
      <alignment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0" fontId="7" fillId="0" borderId="3" xfId="0" applyFont="1" applyBorder="1" applyAlignment="1">
      <alignment vertical="top" wrapText="1"/>
    </xf>
    <xf numFmtId="164" fontId="7" fillId="0" borderId="5" xfId="0" applyNumberFormat="1" applyFont="1" applyBorder="1" applyAlignment="1">
      <alignment horizontal="left" vertical="top" wrapText="1"/>
    </xf>
    <xf numFmtId="164" fontId="7" fillId="0" borderId="2" xfId="0" applyNumberFormat="1" applyFont="1" applyBorder="1" applyAlignment="1">
      <alignment horizontal="left" vertical="top" wrapText="1"/>
    </xf>
    <xf numFmtId="164" fontId="5" fillId="0" borderId="6" xfId="0" applyNumberFormat="1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164" fontId="5" fillId="0" borderId="4" xfId="0" applyNumberFormat="1" applyFont="1" applyFill="1" applyBorder="1" applyAlignment="1">
      <alignment horizontal="left" vertical="top" wrapText="1"/>
    </xf>
    <xf numFmtId="164" fontId="5" fillId="0" borderId="2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6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4"/>
  <sheetViews>
    <sheetView tabSelected="1" topLeftCell="A17" zoomScale="75" workbookViewId="0">
      <selection activeCell="A29" sqref="A1:H1048576"/>
    </sheetView>
  </sheetViews>
  <sheetFormatPr defaultRowHeight="13.2" x14ac:dyDescent="0.25"/>
  <cols>
    <col min="1" max="1" width="58.5546875" customWidth="1"/>
    <col min="2" max="2" width="14.109375" customWidth="1"/>
    <col min="3" max="3" width="14.33203125" customWidth="1"/>
    <col min="4" max="5" width="14.109375" customWidth="1"/>
    <col min="6" max="6" width="14.33203125" customWidth="1"/>
    <col min="7" max="7" width="13.88671875" customWidth="1"/>
    <col min="8" max="9" width="14.5546875" customWidth="1"/>
    <col min="10" max="13" width="14" customWidth="1"/>
    <col min="14" max="14" width="16.33203125" customWidth="1"/>
  </cols>
  <sheetData>
    <row r="1" spans="1:18" ht="20.25" customHeight="1" x14ac:dyDescent="0.35">
      <c r="A1" s="22" t="s">
        <v>44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5" t="s">
        <v>0</v>
      </c>
      <c r="B4" s="6" t="s">
        <v>30</v>
      </c>
      <c r="C4" s="6" t="s">
        <v>31</v>
      </c>
      <c r="D4" s="6" t="s">
        <v>32</v>
      </c>
      <c r="E4" s="6" t="s">
        <v>33</v>
      </c>
      <c r="F4" s="6" t="s">
        <v>34</v>
      </c>
      <c r="G4" s="6" t="s">
        <v>35</v>
      </c>
      <c r="H4" s="6" t="s">
        <v>36</v>
      </c>
      <c r="I4" s="6" t="s">
        <v>37</v>
      </c>
      <c r="J4" s="6" t="s">
        <v>38</v>
      </c>
      <c r="K4" s="6" t="s">
        <v>39</v>
      </c>
      <c r="L4" s="6" t="s">
        <v>40</v>
      </c>
      <c r="M4" s="6" t="s">
        <v>41</v>
      </c>
      <c r="N4" s="6" t="s">
        <v>42</v>
      </c>
    </row>
    <row r="5" spans="1:18" ht="23.25" customHeight="1" thickBot="1" x14ac:dyDescent="0.3">
      <c r="A5" s="7" t="s">
        <v>16</v>
      </c>
      <c r="B5" s="8">
        <v>-466199.31</v>
      </c>
      <c r="C5" s="8">
        <f t="shared" ref="C5:D5" si="0">B42</f>
        <v>-453383.69283000001</v>
      </c>
      <c r="D5" s="8">
        <f t="shared" si="0"/>
        <v>-459443.58169000002</v>
      </c>
      <c r="E5" s="8">
        <f t="shared" ref="E5:G5" si="1">D42</f>
        <v>-465016.77719000005</v>
      </c>
      <c r="F5" s="8">
        <f t="shared" si="1"/>
        <v>-478576.76399000006</v>
      </c>
      <c r="G5" s="8">
        <f t="shared" si="1"/>
        <v>-328728.21099000005</v>
      </c>
      <c r="H5" s="8">
        <f t="shared" ref="H5" si="2">G42</f>
        <v>-378261.25559000007</v>
      </c>
      <c r="I5" s="8">
        <f t="shared" ref="I5" si="3">H42</f>
        <v>-371584.9553700001</v>
      </c>
      <c r="J5" s="8">
        <f t="shared" ref="J5" si="4">I42</f>
        <v>-349236.84893000009</v>
      </c>
      <c r="K5" s="8">
        <f t="shared" ref="K5" si="5">J42</f>
        <v>-357183.11099000007</v>
      </c>
      <c r="L5" s="8">
        <f t="shared" ref="L5" si="6">K42</f>
        <v>-365047.78615000006</v>
      </c>
      <c r="M5" s="8">
        <f t="shared" ref="M5" si="7">L42</f>
        <v>-379411.08131000004</v>
      </c>
      <c r="N5" s="8">
        <f>B5</f>
        <v>-466199.31</v>
      </c>
    </row>
    <row r="6" spans="1:18" ht="21" customHeight="1" thickBot="1" x14ac:dyDescent="0.3">
      <c r="A6" s="7" t="s">
        <v>13</v>
      </c>
      <c r="B6" s="8">
        <v>-288276.36</v>
      </c>
      <c r="C6" s="8">
        <f t="shared" ref="C6:M6" si="8">B44</f>
        <v>-289407.88</v>
      </c>
      <c r="D6" s="8">
        <f t="shared" si="8"/>
        <v>-303597.06</v>
      </c>
      <c r="E6" s="8">
        <f t="shared" si="8"/>
        <v>-318593.58999999997</v>
      </c>
      <c r="F6" s="8">
        <f t="shared" si="8"/>
        <v>-341245.49</v>
      </c>
      <c r="G6" s="8">
        <f t="shared" si="8"/>
        <v>-205346.42</v>
      </c>
      <c r="H6" s="8">
        <f t="shared" si="8"/>
        <v>-209155.13</v>
      </c>
      <c r="I6" s="8">
        <f t="shared" si="8"/>
        <v>-226814.35000000003</v>
      </c>
      <c r="J6" s="8">
        <f t="shared" si="8"/>
        <v>-228471.55000000008</v>
      </c>
      <c r="K6" s="8">
        <f t="shared" si="8"/>
        <v>-260592.8300000001</v>
      </c>
      <c r="L6" s="8">
        <f t="shared" si="8"/>
        <v>-279134.2300000001</v>
      </c>
      <c r="M6" s="8">
        <f t="shared" si="8"/>
        <v>-298449.76000000013</v>
      </c>
      <c r="N6" s="8">
        <f>B6</f>
        <v>-288276.36</v>
      </c>
    </row>
    <row r="7" spans="1:18" ht="20.25" customHeight="1" thickBot="1" x14ac:dyDescent="0.3">
      <c r="A7" s="9" t="s">
        <v>12</v>
      </c>
      <c r="B7" s="10">
        <f t="shared" ref="B7:M7" si="9">SUM(B8:B15)</f>
        <v>56450.46</v>
      </c>
      <c r="C7" s="10">
        <f t="shared" si="9"/>
        <v>56450.46</v>
      </c>
      <c r="D7" s="10">
        <f t="shared" si="9"/>
        <v>56911.689999999995</v>
      </c>
      <c r="E7" s="10">
        <f t="shared" si="9"/>
        <v>56911.689999999995</v>
      </c>
      <c r="F7" s="10">
        <f t="shared" si="9"/>
        <v>56911.689999999995</v>
      </c>
      <c r="G7" s="10">
        <f t="shared" si="9"/>
        <v>56911.689999999995</v>
      </c>
      <c r="H7" s="10">
        <f t="shared" si="9"/>
        <v>68987.000000000015</v>
      </c>
      <c r="I7" s="10">
        <f t="shared" si="9"/>
        <v>68997.680000000022</v>
      </c>
      <c r="J7" s="10">
        <f t="shared" si="9"/>
        <v>68997.680000000022</v>
      </c>
      <c r="K7" s="10">
        <f t="shared" si="9"/>
        <v>68797.680000000022</v>
      </c>
      <c r="L7" s="10">
        <f t="shared" si="9"/>
        <v>68797.680000000022</v>
      </c>
      <c r="M7" s="10">
        <f t="shared" si="9"/>
        <v>68797.680000000022</v>
      </c>
      <c r="N7" s="10">
        <f>SUM(B7:M7)</f>
        <v>753923.08000000019</v>
      </c>
    </row>
    <row r="8" spans="1:18" ht="24.75" customHeight="1" thickBot="1" x14ac:dyDescent="0.3">
      <c r="A8" s="4" t="s">
        <v>29</v>
      </c>
      <c r="B8" s="11">
        <f t="shared" ref="B8:G8" si="10">33725.53+1482.26</f>
        <v>35207.79</v>
      </c>
      <c r="C8" s="11">
        <f t="shared" si="10"/>
        <v>35207.79</v>
      </c>
      <c r="D8" s="11">
        <f t="shared" si="10"/>
        <v>35207.79</v>
      </c>
      <c r="E8" s="11">
        <f t="shared" si="10"/>
        <v>35207.79</v>
      </c>
      <c r="F8" s="11">
        <f t="shared" si="10"/>
        <v>35207.79</v>
      </c>
      <c r="G8" s="11">
        <f t="shared" si="10"/>
        <v>35207.79</v>
      </c>
      <c r="H8" s="11">
        <f t="shared" ref="H8:M8" si="11">41552.5+1482.26</f>
        <v>43034.76</v>
      </c>
      <c r="I8" s="11">
        <f t="shared" si="11"/>
        <v>43034.76</v>
      </c>
      <c r="J8" s="11">
        <f t="shared" si="11"/>
        <v>43034.76</v>
      </c>
      <c r="K8" s="11">
        <f t="shared" si="11"/>
        <v>43034.76</v>
      </c>
      <c r="L8" s="11">
        <f t="shared" si="11"/>
        <v>43034.76</v>
      </c>
      <c r="M8" s="11">
        <f t="shared" si="11"/>
        <v>43034.76</v>
      </c>
      <c r="N8" s="11">
        <f>SUM(B8:M8)</f>
        <v>469455.30000000005</v>
      </c>
    </row>
    <row r="9" spans="1:18" ht="24.75" customHeight="1" thickBot="1" x14ac:dyDescent="0.3">
      <c r="A9" s="4" t="s">
        <v>17</v>
      </c>
      <c r="B9" s="11">
        <v>20509.849999999999</v>
      </c>
      <c r="C9" s="11">
        <v>20509.849999999999</v>
      </c>
      <c r="D9" s="11">
        <v>20509.849999999999</v>
      </c>
      <c r="E9" s="11">
        <v>20509.849999999999</v>
      </c>
      <c r="F9" s="11">
        <v>20509.849999999999</v>
      </c>
      <c r="G9" s="11">
        <v>20509.849999999999</v>
      </c>
      <c r="H9" s="11">
        <v>25269.75</v>
      </c>
      <c r="I9" s="11">
        <v>25269.75</v>
      </c>
      <c r="J9" s="11">
        <v>25269.75</v>
      </c>
      <c r="K9" s="11">
        <v>25269.75</v>
      </c>
      <c r="L9" s="11">
        <v>25269.75</v>
      </c>
      <c r="M9" s="11">
        <v>25269.75</v>
      </c>
      <c r="N9" s="11">
        <f>SUM(B9:M9)</f>
        <v>274677.59999999998</v>
      </c>
    </row>
    <row r="10" spans="1:18" ht="24.75" customHeight="1" thickBot="1" x14ac:dyDescent="0.3">
      <c r="A10" s="4" t="s">
        <v>18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f t="shared" ref="N10" si="12">SUM(B10:M10)</f>
        <v>0</v>
      </c>
    </row>
    <row r="11" spans="1:18" ht="24.75" customHeight="1" thickBot="1" x14ac:dyDescent="0.3">
      <c r="A11" s="4" t="s">
        <v>19</v>
      </c>
      <c r="B11" s="11">
        <f t="shared" ref="B11:G11" si="13">102.02+64.32</f>
        <v>166.33999999999997</v>
      </c>
      <c r="C11" s="11">
        <f t="shared" si="13"/>
        <v>166.33999999999997</v>
      </c>
      <c r="D11" s="11">
        <f t="shared" si="13"/>
        <v>166.33999999999997</v>
      </c>
      <c r="E11" s="11">
        <f t="shared" si="13"/>
        <v>166.33999999999997</v>
      </c>
      <c r="F11" s="11">
        <f t="shared" si="13"/>
        <v>166.33999999999997</v>
      </c>
      <c r="G11" s="11">
        <f t="shared" si="13"/>
        <v>166.33999999999997</v>
      </c>
      <c r="H11" s="11">
        <f>132.62+82.7</f>
        <v>215.32</v>
      </c>
      <c r="I11" s="11">
        <f>132.62+82.7</f>
        <v>215.32</v>
      </c>
      <c r="J11" s="11">
        <f>132.62+82.7</f>
        <v>215.32</v>
      </c>
      <c r="K11" s="11">
        <f>132.62+82.7</f>
        <v>215.32</v>
      </c>
      <c r="L11" s="11">
        <f>132.62+82.7</f>
        <v>215.32</v>
      </c>
      <c r="M11" s="11">
        <f>132.62+82.7</f>
        <v>215.32</v>
      </c>
      <c r="N11" s="11">
        <f>SUM(B11:M11)</f>
        <v>2289.9599999999996</v>
      </c>
    </row>
    <row r="12" spans="1:18" ht="24.75" customHeight="1" thickBot="1" x14ac:dyDescent="0.3">
      <c r="A12" s="4" t="s">
        <v>20</v>
      </c>
      <c r="B12" s="11">
        <v>0</v>
      </c>
      <c r="C12" s="11">
        <v>0</v>
      </c>
      <c r="D12" s="11">
        <f>349.19+211.35</f>
        <v>560.54</v>
      </c>
      <c r="E12" s="11">
        <f>349.19+211.35</f>
        <v>560.54</v>
      </c>
      <c r="F12" s="11">
        <f>349.19+211.35</f>
        <v>560.54</v>
      </c>
      <c r="G12" s="11">
        <f>349.19+211.35</f>
        <v>560.54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f t="shared" ref="N12:N15" si="14">SUM(B12:M12)</f>
        <v>2242.16</v>
      </c>
    </row>
    <row r="13" spans="1:18" ht="24.75" hidden="1" customHeight="1" thickBot="1" x14ac:dyDescent="0.3">
      <c r="A13" s="4" t="s">
        <v>26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>
        <f t="shared" si="14"/>
        <v>0</v>
      </c>
    </row>
    <row r="14" spans="1:18" ht="24.75" customHeight="1" thickBot="1" x14ac:dyDescent="0.3">
      <c r="A14" s="4" t="s">
        <v>27</v>
      </c>
      <c r="B14" s="11">
        <f>165.4+101.08</f>
        <v>266.48</v>
      </c>
      <c r="C14" s="11">
        <f>165.4+101.08</f>
        <v>266.48</v>
      </c>
      <c r="D14" s="11">
        <f>102.85+64.32</f>
        <v>167.17</v>
      </c>
      <c r="E14" s="11">
        <f>102.85+64.32</f>
        <v>167.17</v>
      </c>
      <c r="F14" s="11">
        <f>102.85+64.32</f>
        <v>167.17</v>
      </c>
      <c r="G14" s="11">
        <f>102.85+64.32</f>
        <v>167.17</v>
      </c>
      <c r="H14" s="11">
        <f>102.85+64.32</f>
        <v>167.17</v>
      </c>
      <c r="I14" s="11">
        <f>113.53+64.32</f>
        <v>177.85</v>
      </c>
      <c r="J14" s="11">
        <f>113.53+64.32</f>
        <v>177.85</v>
      </c>
      <c r="K14" s="11">
        <f>113.53+64.32</f>
        <v>177.85</v>
      </c>
      <c r="L14" s="11">
        <f>113.53+64.32</f>
        <v>177.85</v>
      </c>
      <c r="M14" s="11">
        <f>113.53+64.32</f>
        <v>177.85</v>
      </c>
      <c r="N14" s="11">
        <f t="shared" si="14"/>
        <v>2258.06</v>
      </c>
    </row>
    <row r="15" spans="1:18" ht="24.75" customHeight="1" thickBot="1" x14ac:dyDescent="0.3">
      <c r="A15" s="4" t="s">
        <v>15</v>
      </c>
      <c r="B15" s="11">
        <f>600-300</f>
        <v>300</v>
      </c>
      <c r="C15" s="11">
        <f t="shared" ref="C15:J15" si="15">600-300</f>
        <v>300</v>
      </c>
      <c r="D15" s="11">
        <f t="shared" si="15"/>
        <v>300</v>
      </c>
      <c r="E15" s="11">
        <f t="shared" si="15"/>
        <v>300</v>
      </c>
      <c r="F15" s="11">
        <f t="shared" si="15"/>
        <v>300</v>
      </c>
      <c r="G15" s="11">
        <f t="shared" si="15"/>
        <v>300</v>
      </c>
      <c r="H15" s="11">
        <f t="shared" si="15"/>
        <v>300</v>
      </c>
      <c r="I15" s="11">
        <f t="shared" si="15"/>
        <v>300</v>
      </c>
      <c r="J15" s="11">
        <f t="shared" si="15"/>
        <v>300</v>
      </c>
      <c r="K15" s="11">
        <v>100</v>
      </c>
      <c r="L15" s="11">
        <v>100</v>
      </c>
      <c r="M15" s="11">
        <v>100</v>
      </c>
      <c r="N15" s="11">
        <f t="shared" si="14"/>
        <v>3000</v>
      </c>
    </row>
    <row r="16" spans="1:18" ht="20.25" customHeight="1" thickBot="1" x14ac:dyDescent="0.3">
      <c r="A16" s="12" t="s">
        <v>8</v>
      </c>
      <c r="B16" s="13">
        <f t="shared" ref="B16:M16" si="16">SUM(B17:B24)</f>
        <v>55318.939999999995</v>
      </c>
      <c r="C16" s="13">
        <f t="shared" si="16"/>
        <v>42261.279999999999</v>
      </c>
      <c r="D16" s="13">
        <f t="shared" si="16"/>
        <v>37703.08</v>
      </c>
      <c r="E16" s="13">
        <f t="shared" si="16"/>
        <v>34259.79</v>
      </c>
      <c r="F16" s="13">
        <f t="shared" si="16"/>
        <v>192810.75999999998</v>
      </c>
      <c r="G16" s="13">
        <f t="shared" si="16"/>
        <v>53102.979999999996</v>
      </c>
      <c r="H16" s="13">
        <f t="shared" si="16"/>
        <v>51327.78</v>
      </c>
      <c r="I16" s="13">
        <f t="shared" si="16"/>
        <v>67340.479999999981</v>
      </c>
      <c r="J16" s="13">
        <f t="shared" si="16"/>
        <v>36876.400000000009</v>
      </c>
      <c r="K16" s="13">
        <f t="shared" si="16"/>
        <v>50256.28</v>
      </c>
      <c r="L16" s="13">
        <f t="shared" si="16"/>
        <v>49482.150000000009</v>
      </c>
      <c r="M16" s="13">
        <f t="shared" si="16"/>
        <v>77648.789999999994</v>
      </c>
      <c r="N16" s="13">
        <f>SUM(B16:M16)</f>
        <v>748388.71000000008</v>
      </c>
    </row>
    <row r="17" spans="1:15" ht="24" customHeight="1" thickBot="1" x14ac:dyDescent="0.3">
      <c r="A17" s="4" t="s">
        <v>29</v>
      </c>
      <c r="B17" s="11">
        <f>32357.55+884.32</f>
        <v>33241.870000000003</v>
      </c>
      <c r="C17" s="11">
        <f>40805.02+1001.83</f>
        <v>41806.85</v>
      </c>
      <c r="D17" s="11">
        <f>36400.44+996.07</f>
        <v>37396.51</v>
      </c>
      <c r="E17" s="11">
        <f>32817.95+897.22</f>
        <v>33715.17</v>
      </c>
      <c r="F17" s="11">
        <f>26003.26+710.67</f>
        <v>26713.929999999997</v>
      </c>
      <c r="G17" s="11">
        <f>33629.93+899.64</f>
        <v>34529.57</v>
      </c>
      <c r="H17" s="11">
        <f>28271.26+787.76</f>
        <v>29059.019999999997</v>
      </c>
      <c r="I17" s="11">
        <f>39727.43+900.39</f>
        <v>40627.82</v>
      </c>
      <c r="J17" s="11">
        <f>34291.65+740.08</f>
        <v>35031.730000000003</v>
      </c>
      <c r="K17" s="11">
        <f>48402.44+1009.68</f>
        <v>49412.12</v>
      </c>
      <c r="L17" s="11">
        <f>47752.73+1312.05</f>
        <v>49064.780000000006</v>
      </c>
      <c r="M17" s="11">
        <f>40932.28+886.35</f>
        <v>41818.629999999997</v>
      </c>
      <c r="N17" s="11">
        <f>SUM(B17:M17)</f>
        <v>452418</v>
      </c>
    </row>
    <row r="18" spans="1:15" ht="26.25" customHeight="1" thickBot="1" x14ac:dyDescent="0.3">
      <c r="A18" s="4" t="s">
        <v>17</v>
      </c>
      <c r="B18" s="11">
        <v>18350.439999999999</v>
      </c>
      <c r="C18" s="11">
        <v>0</v>
      </c>
      <c r="D18" s="11">
        <v>0</v>
      </c>
      <c r="E18" s="11">
        <v>0</v>
      </c>
      <c r="F18" s="11">
        <v>165576.63</v>
      </c>
      <c r="G18" s="11">
        <v>17936.93</v>
      </c>
      <c r="H18" s="11">
        <v>20509.849999999999</v>
      </c>
      <c r="I18" s="11">
        <f>25269.75+643.24</f>
        <v>25912.99</v>
      </c>
      <c r="J18" s="11">
        <v>0</v>
      </c>
      <c r="K18" s="11">
        <v>395.13</v>
      </c>
      <c r="L18" s="11">
        <v>0</v>
      </c>
      <c r="M18" s="11">
        <v>35340.9</v>
      </c>
      <c r="N18" s="11">
        <f>SUM(B18:M18)</f>
        <v>284022.87</v>
      </c>
    </row>
    <row r="19" spans="1:15" ht="26.25" customHeight="1" thickBot="1" x14ac:dyDescent="0.3">
      <c r="A19" s="4" t="s">
        <v>18</v>
      </c>
      <c r="B19" s="11">
        <v>3528.74</v>
      </c>
      <c r="C19" s="11">
        <v>188.86</v>
      </c>
      <c r="D19" s="11">
        <v>44.47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f t="shared" ref="N19:N24" si="17">SUM(B19:M19)</f>
        <v>3762.0699999999997</v>
      </c>
    </row>
    <row r="20" spans="1:15" ht="26.25" customHeight="1" thickBot="1" x14ac:dyDescent="0.3">
      <c r="A20" s="4" t="s">
        <v>19</v>
      </c>
      <c r="B20" s="11">
        <v>97.89</v>
      </c>
      <c r="C20" s="11">
        <v>124.52</v>
      </c>
      <c r="D20" s="11">
        <v>110.22</v>
      </c>
      <c r="E20" s="11">
        <v>99.3</v>
      </c>
      <c r="F20" s="11">
        <v>78.66</v>
      </c>
      <c r="G20" s="11">
        <v>99.57</v>
      </c>
      <c r="H20" s="11">
        <f>87.19+257.28</f>
        <v>344.46999999999997</v>
      </c>
      <c r="I20" s="11">
        <f>126.8+248.1</f>
        <v>374.9</v>
      </c>
      <c r="J20" s="11">
        <f>106.49+82.7</f>
        <v>189.19</v>
      </c>
      <c r="K20" s="11">
        <v>156.59</v>
      </c>
      <c r="L20" s="11">
        <v>152.01</v>
      </c>
      <c r="M20" s="11">
        <f>130.7+82.7</f>
        <v>213.39999999999998</v>
      </c>
      <c r="N20" s="11">
        <f t="shared" si="17"/>
        <v>2040.7200000000003</v>
      </c>
    </row>
    <row r="21" spans="1:15" ht="26.25" customHeight="1" thickBot="1" x14ac:dyDescent="0.3">
      <c r="A21" s="4" t="s">
        <v>20</v>
      </c>
      <c r="B21" s="11">
        <v>0</v>
      </c>
      <c r="C21" s="11">
        <v>14.25</v>
      </c>
      <c r="D21" s="11">
        <v>46.07</v>
      </c>
      <c r="E21" s="11">
        <v>316.23</v>
      </c>
      <c r="F21" s="11">
        <v>269.24</v>
      </c>
      <c r="G21" s="11">
        <v>340.85</v>
      </c>
      <c r="H21" s="11">
        <f>298.45+634.05</f>
        <v>932.5</v>
      </c>
      <c r="I21" s="11">
        <v>31.34</v>
      </c>
      <c r="J21" s="11">
        <v>0</v>
      </c>
      <c r="K21" s="11">
        <v>55.82</v>
      </c>
      <c r="L21" s="11">
        <v>33.21</v>
      </c>
      <c r="M21" s="11">
        <v>0</v>
      </c>
      <c r="N21" s="11">
        <f t="shared" si="17"/>
        <v>2039.5099999999998</v>
      </c>
    </row>
    <row r="22" spans="1:15" ht="26.25" hidden="1" customHeight="1" thickBot="1" x14ac:dyDescent="0.3">
      <c r="A22" s="4" t="s">
        <v>26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>
        <f t="shared" si="17"/>
        <v>0</v>
      </c>
    </row>
    <row r="23" spans="1:15" ht="26.25" customHeight="1" thickBot="1" x14ac:dyDescent="0.3">
      <c r="A23" s="4" t="s">
        <v>27</v>
      </c>
      <c r="B23" s="11">
        <v>0</v>
      </c>
      <c r="C23" s="11">
        <v>26.8</v>
      </c>
      <c r="D23" s="11">
        <v>5.81</v>
      </c>
      <c r="E23" s="11">
        <v>29.09</v>
      </c>
      <c r="F23" s="11">
        <v>72.3</v>
      </c>
      <c r="G23" s="11">
        <v>96.06</v>
      </c>
      <c r="H23" s="11">
        <f>87.9+294.04</f>
        <v>381.94000000000005</v>
      </c>
      <c r="I23" s="11">
        <f>100.47+192.96</f>
        <v>293.43</v>
      </c>
      <c r="J23" s="11">
        <f>91.16+64.32</f>
        <v>155.47999999999999</v>
      </c>
      <c r="K23" s="11">
        <v>136.62</v>
      </c>
      <c r="L23" s="11">
        <v>132.15</v>
      </c>
      <c r="M23" s="11">
        <f>111.54+64.32</f>
        <v>175.86</v>
      </c>
      <c r="N23" s="11">
        <f t="shared" si="17"/>
        <v>1505.5400000000004</v>
      </c>
    </row>
    <row r="24" spans="1:15" ht="26.25" customHeight="1" thickBot="1" x14ac:dyDescent="0.3">
      <c r="A24" s="4" t="s">
        <v>15</v>
      </c>
      <c r="B24" s="14">
        <f>400-300</f>
        <v>100</v>
      </c>
      <c r="C24" s="14">
        <f t="shared" ref="C24:I24" si="18">400-300</f>
        <v>100</v>
      </c>
      <c r="D24" s="14">
        <f t="shared" si="18"/>
        <v>100</v>
      </c>
      <c r="E24" s="14">
        <f t="shared" si="18"/>
        <v>100</v>
      </c>
      <c r="F24" s="14">
        <f t="shared" si="18"/>
        <v>100</v>
      </c>
      <c r="G24" s="14">
        <f t="shared" si="18"/>
        <v>100</v>
      </c>
      <c r="H24" s="14">
        <f t="shared" si="18"/>
        <v>100</v>
      </c>
      <c r="I24" s="14">
        <f t="shared" si="18"/>
        <v>100</v>
      </c>
      <c r="J24" s="14">
        <v>1500</v>
      </c>
      <c r="K24" s="14">
        <v>100</v>
      </c>
      <c r="L24" s="14">
        <v>100</v>
      </c>
      <c r="M24" s="14">
        <v>100</v>
      </c>
      <c r="N24" s="11">
        <f t="shared" si="17"/>
        <v>2600</v>
      </c>
      <c r="O24" s="3"/>
    </row>
    <row r="25" spans="1:15" ht="21.75" customHeight="1" thickBot="1" x14ac:dyDescent="0.3">
      <c r="A25" s="15" t="s">
        <v>25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7"/>
    </row>
    <row r="26" spans="1:15" ht="19.5" customHeight="1" thickBot="1" x14ac:dyDescent="0.3">
      <c r="A26" s="4" t="s">
        <v>1</v>
      </c>
      <c r="B26" s="11">
        <f t="shared" ref="B26:M26" si="19">2429.9*0.6</f>
        <v>1457.94</v>
      </c>
      <c r="C26" s="11">
        <f t="shared" si="19"/>
        <v>1457.94</v>
      </c>
      <c r="D26" s="11">
        <f t="shared" si="19"/>
        <v>1457.94</v>
      </c>
      <c r="E26" s="11">
        <f t="shared" si="19"/>
        <v>1457.94</v>
      </c>
      <c r="F26" s="11">
        <f t="shared" si="19"/>
        <v>1457.94</v>
      </c>
      <c r="G26" s="11">
        <f t="shared" si="19"/>
        <v>1457.94</v>
      </c>
      <c r="H26" s="11">
        <f t="shared" si="19"/>
        <v>1457.94</v>
      </c>
      <c r="I26" s="11">
        <f t="shared" si="19"/>
        <v>1457.94</v>
      </c>
      <c r="J26" s="11">
        <f t="shared" si="19"/>
        <v>1457.94</v>
      </c>
      <c r="K26" s="11">
        <f t="shared" si="19"/>
        <v>1457.94</v>
      </c>
      <c r="L26" s="11">
        <f t="shared" si="19"/>
        <v>1457.94</v>
      </c>
      <c r="M26" s="11">
        <f t="shared" si="19"/>
        <v>1457.94</v>
      </c>
      <c r="N26" s="11">
        <f t="shared" ref="N26:N39" si="20">SUM(B26:M26)</f>
        <v>17495.280000000002</v>
      </c>
    </row>
    <row r="27" spans="1:15" ht="22.5" customHeight="1" thickBot="1" x14ac:dyDescent="0.3">
      <c r="A27" s="4" t="s">
        <v>2</v>
      </c>
      <c r="B27" s="20">
        <f t="shared" ref="B27" si="21">2429.9*0.17</f>
        <v>413.08300000000003</v>
      </c>
      <c r="C27" s="20">
        <f>2429.9*0.2</f>
        <v>485.98</v>
      </c>
      <c r="D27" s="20">
        <f>2429.9*0.2</f>
        <v>485.98</v>
      </c>
      <c r="E27" s="20">
        <f t="shared" ref="E27:M27" si="22">2429.9*0.2</f>
        <v>485.98</v>
      </c>
      <c r="F27" s="20">
        <f t="shared" si="22"/>
        <v>485.98</v>
      </c>
      <c r="G27" s="20">
        <f t="shared" si="22"/>
        <v>485.98</v>
      </c>
      <c r="H27" s="20">
        <f t="shared" si="22"/>
        <v>485.98</v>
      </c>
      <c r="I27" s="20">
        <f t="shared" si="22"/>
        <v>485.98</v>
      </c>
      <c r="J27" s="20">
        <f t="shared" si="22"/>
        <v>485.98</v>
      </c>
      <c r="K27" s="20">
        <f t="shared" si="22"/>
        <v>485.98</v>
      </c>
      <c r="L27" s="20">
        <f t="shared" si="22"/>
        <v>485.98</v>
      </c>
      <c r="M27" s="20">
        <f t="shared" si="22"/>
        <v>485.98</v>
      </c>
      <c r="N27" s="11">
        <f t="shared" si="20"/>
        <v>5758.8629999999994</v>
      </c>
    </row>
    <row r="28" spans="1:15" ht="21" customHeight="1" thickBot="1" x14ac:dyDescent="0.3">
      <c r="A28" s="4" t="s">
        <v>3</v>
      </c>
      <c r="B28" s="11">
        <f>35475.21*2.3%</f>
        <v>815.92982999999992</v>
      </c>
      <c r="C28" s="11">
        <f>35475.21*2.6%</f>
        <v>922.35546000000011</v>
      </c>
      <c r="D28" s="11">
        <f>35761.85*2.6%</f>
        <v>929.80810000000008</v>
      </c>
      <c r="E28" s="11">
        <f>35761.85*2.6%</f>
        <v>929.80810000000008</v>
      </c>
      <c r="F28" s="11">
        <f>35761.85*2.6%</f>
        <v>929.80810000000008</v>
      </c>
      <c r="G28" s="11">
        <f>35761.85*2.6%</f>
        <v>929.80810000000008</v>
      </c>
      <c r="H28" s="11">
        <f>43270.23*2.6%</f>
        <v>1125.0259800000001</v>
      </c>
      <c r="I28" s="11">
        <f>43280.91*2.6%</f>
        <v>1125.3036600000003</v>
      </c>
      <c r="J28" s="11">
        <f>43280.91*2.6%</f>
        <v>1125.3036600000003</v>
      </c>
      <c r="K28" s="11">
        <f>43280.91*2.6%</f>
        <v>1125.3036600000003</v>
      </c>
      <c r="L28" s="11">
        <f>43280.91*2.6%</f>
        <v>1125.3036600000003</v>
      </c>
      <c r="M28" s="11">
        <f>43280.91*2.6%</f>
        <v>1125.3036600000003</v>
      </c>
      <c r="N28" s="11">
        <f t="shared" si="20"/>
        <v>12209.061970000001</v>
      </c>
    </row>
    <row r="29" spans="1:15" ht="23.25" customHeight="1" thickBot="1" x14ac:dyDescent="0.3">
      <c r="A29" s="4" t="s">
        <v>4</v>
      </c>
      <c r="B29" s="11">
        <f>36868.5*3%</f>
        <v>1106.0550000000001</v>
      </c>
      <c r="C29" s="11">
        <f>42161.28*3%</f>
        <v>1264.8383999999999</v>
      </c>
      <c r="D29" s="11">
        <f>37603.08*3%</f>
        <v>1128.0924</v>
      </c>
      <c r="E29" s="11">
        <f>34159.79*3%</f>
        <v>1024.7936999999999</v>
      </c>
      <c r="F29" s="11">
        <f>27134.13*3%</f>
        <v>814.02390000000003</v>
      </c>
      <c r="G29" s="11">
        <f>35066.05*3%</f>
        <v>1051.9815000000001</v>
      </c>
      <c r="H29" s="11">
        <f>29532.56*3%</f>
        <v>885.97680000000003</v>
      </c>
      <c r="I29" s="11">
        <f>40886.43*3%</f>
        <v>1226.5928999999999</v>
      </c>
      <c r="J29" s="11">
        <f>35229.38*3%</f>
        <v>1056.8814</v>
      </c>
      <c r="K29" s="11">
        <f>49761.15*3%</f>
        <v>1492.8344999999999</v>
      </c>
      <c r="L29" s="11">
        <f>49382.15*3%</f>
        <v>1481.4645</v>
      </c>
      <c r="M29" s="11">
        <f>42060.87*3%</f>
        <v>1261.8261</v>
      </c>
      <c r="N29" s="11">
        <f t="shared" si="20"/>
        <v>13795.361100000002</v>
      </c>
    </row>
    <row r="30" spans="1:15" ht="23.25" customHeight="1" thickBot="1" x14ac:dyDescent="0.3">
      <c r="A30" s="4" t="s">
        <v>9</v>
      </c>
      <c r="B30" s="11">
        <f>2429.9*12</f>
        <v>29158.800000000003</v>
      </c>
      <c r="C30" s="11">
        <f t="shared" ref="C30:M30" si="23">2429.9*12</f>
        <v>29158.800000000003</v>
      </c>
      <c r="D30" s="11">
        <f t="shared" si="23"/>
        <v>29158.800000000003</v>
      </c>
      <c r="E30" s="11">
        <f t="shared" si="23"/>
        <v>29158.800000000003</v>
      </c>
      <c r="F30" s="11">
        <f t="shared" si="23"/>
        <v>29158.800000000003</v>
      </c>
      <c r="G30" s="11">
        <f t="shared" si="23"/>
        <v>29158.800000000003</v>
      </c>
      <c r="H30" s="11">
        <f t="shared" si="23"/>
        <v>29158.800000000003</v>
      </c>
      <c r="I30" s="11">
        <f t="shared" si="23"/>
        <v>29158.800000000003</v>
      </c>
      <c r="J30" s="11">
        <f t="shared" si="23"/>
        <v>29158.800000000003</v>
      </c>
      <c r="K30" s="11">
        <f t="shared" si="23"/>
        <v>29158.800000000003</v>
      </c>
      <c r="L30" s="11">
        <f t="shared" si="23"/>
        <v>29158.800000000003</v>
      </c>
      <c r="M30" s="11">
        <f t="shared" si="23"/>
        <v>29158.800000000003</v>
      </c>
      <c r="N30" s="11">
        <f t="shared" si="20"/>
        <v>349905.59999999992</v>
      </c>
    </row>
    <row r="31" spans="1:15" ht="26.25" customHeight="1" thickBot="1" x14ac:dyDescent="0.3">
      <c r="A31" s="4" t="s">
        <v>21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f t="shared" si="20"/>
        <v>0</v>
      </c>
    </row>
    <row r="32" spans="1:15" ht="26.25" customHeight="1" thickBot="1" x14ac:dyDescent="0.3">
      <c r="A32" s="4" t="s">
        <v>22</v>
      </c>
      <c r="B32" s="11">
        <v>245.93</v>
      </c>
      <c r="C32" s="11">
        <v>245.93</v>
      </c>
      <c r="D32" s="11">
        <v>245.93</v>
      </c>
      <c r="E32" s="11">
        <v>245.93</v>
      </c>
      <c r="F32" s="11">
        <v>245.93</v>
      </c>
      <c r="G32" s="11">
        <v>245.93</v>
      </c>
      <c r="H32" s="11">
        <v>319.70999999999998</v>
      </c>
      <c r="I32" s="11">
        <v>319.70999999999998</v>
      </c>
      <c r="J32" s="11">
        <v>319.70999999999998</v>
      </c>
      <c r="K32" s="11">
        <v>319.70999999999998</v>
      </c>
      <c r="L32" s="11">
        <v>319.70999999999998</v>
      </c>
      <c r="M32" s="11">
        <v>319.70999999999998</v>
      </c>
      <c r="N32" s="11">
        <f t="shared" si="20"/>
        <v>3393.84</v>
      </c>
    </row>
    <row r="33" spans="1:14" ht="26.25" customHeight="1" thickBot="1" x14ac:dyDescent="0.3">
      <c r="A33" s="4" t="s">
        <v>23</v>
      </c>
      <c r="B33" s="11">
        <v>0</v>
      </c>
      <c r="C33" s="11">
        <v>564.14</v>
      </c>
      <c r="D33" s="11">
        <v>564.14</v>
      </c>
      <c r="E33" s="11">
        <v>564.14</v>
      </c>
      <c r="F33" s="11">
        <v>564.14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f t="shared" si="20"/>
        <v>2256.56</v>
      </c>
    </row>
    <row r="34" spans="1:14" ht="26.25" customHeight="1" thickBot="1" x14ac:dyDescent="0.3">
      <c r="A34" s="4" t="s">
        <v>27</v>
      </c>
      <c r="B34" s="11">
        <f>165.42+0</f>
        <v>165.42</v>
      </c>
      <c r="C34" s="11">
        <f t="shared" ref="C34:G34" si="24">165.42+0</f>
        <v>165.42</v>
      </c>
      <c r="D34" s="11">
        <f t="shared" si="24"/>
        <v>165.42</v>
      </c>
      <c r="E34" s="11">
        <f t="shared" si="24"/>
        <v>165.42</v>
      </c>
      <c r="F34" s="11">
        <f t="shared" si="24"/>
        <v>165.42</v>
      </c>
      <c r="G34" s="11">
        <f t="shared" si="24"/>
        <v>165.42</v>
      </c>
      <c r="H34" s="11">
        <f>182.56+0</f>
        <v>182.56</v>
      </c>
      <c r="I34" s="11">
        <f t="shared" ref="I34:M34" si="25">182.56+0</f>
        <v>182.56</v>
      </c>
      <c r="J34" s="11">
        <f t="shared" si="25"/>
        <v>182.56</v>
      </c>
      <c r="K34" s="11">
        <f t="shared" si="25"/>
        <v>182.56</v>
      </c>
      <c r="L34" s="11">
        <f t="shared" si="25"/>
        <v>182.56</v>
      </c>
      <c r="M34" s="11">
        <f t="shared" si="25"/>
        <v>182.56</v>
      </c>
      <c r="N34" s="11">
        <f t="shared" si="20"/>
        <v>2087.8799999999997</v>
      </c>
    </row>
    <row r="35" spans="1:14" ht="22.5" customHeight="1" thickBot="1" x14ac:dyDescent="0.3">
      <c r="A35" s="4" t="s">
        <v>6</v>
      </c>
      <c r="B35" s="11">
        <f t="shared" ref="B35:G35" si="26">2429.9*3.35</f>
        <v>8140.1650000000009</v>
      </c>
      <c r="C35" s="11">
        <f t="shared" si="26"/>
        <v>8140.1650000000009</v>
      </c>
      <c r="D35" s="11">
        <f t="shared" si="26"/>
        <v>8140.1650000000009</v>
      </c>
      <c r="E35" s="11">
        <f t="shared" si="26"/>
        <v>8140.1650000000009</v>
      </c>
      <c r="F35" s="11">
        <f t="shared" si="26"/>
        <v>8140.1650000000009</v>
      </c>
      <c r="G35" s="11">
        <f t="shared" si="26"/>
        <v>8140.1650000000009</v>
      </c>
      <c r="H35" s="11">
        <f>2429.9*4.13</f>
        <v>10035.487000000001</v>
      </c>
      <c r="I35" s="11">
        <f t="shared" ref="I35:M35" si="27">2429.9*4.13</f>
        <v>10035.487000000001</v>
      </c>
      <c r="J35" s="11">
        <f t="shared" si="27"/>
        <v>10035.487000000001</v>
      </c>
      <c r="K35" s="11">
        <f t="shared" si="27"/>
        <v>10035.487000000001</v>
      </c>
      <c r="L35" s="11">
        <f t="shared" si="27"/>
        <v>10035.487000000001</v>
      </c>
      <c r="M35" s="11">
        <f t="shared" si="27"/>
        <v>10035.487000000001</v>
      </c>
      <c r="N35" s="11">
        <f t="shared" si="20"/>
        <v>109053.91199999998</v>
      </c>
    </row>
    <row r="36" spans="1:14" ht="21.75" hidden="1" customHeight="1" thickBot="1" x14ac:dyDescent="0.3">
      <c r="A36" s="4" t="s">
        <v>26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>
        <f t="shared" si="20"/>
        <v>0</v>
      </c>
    </row>
    <row r="37" spans="1:14" ht="24.75" customHeight="1" thickBot="1" x14ac:dyDescent="0.3">
      <c r="A37" s="4" t="s">
        <v>14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9749.24</v>
      </c>
      <c r="L37" s="11">
        <v>0</v>
      </c>
      <c r="M37" s="11">
        <v>0</v>
      </c>
      <c r="N37" s="11">
        <f t="shared" si="20"/>
        <v>9749.24</v>
      </c>
    </row>
    <row r="38" spans="1:14" ht="24.75" customHeight="1" thickBot="1" x14ac:dyDescent="0.3">
      <c r="A38" s="4" t="s">
        <v>28</v>
      </c>
      <c r="B38" s="11">
        <v>1000</v>
      </c>
      <c r="C38" s="11">
        <v>1000</v>
      </c>
      <c r="D38" s="11">
        <v>1000</v>
      </c>
      <c r="E38" s="11">
        <v>1000</v>
      </c>
      <c r="F38" s="11">
        <v>1000</v>
      </c>
      <c r="G38" s="11">
        <v>1000</v>
      </c>
      <c r="H38" s="11">
        <v>1000</v>
      </c>
      <c r="I38" s="11">
        <v>1000</v>
      </c>
      <c r="J38" s="11">
        <v>1000</v>
      </c>
      <c r="K38" s="11">
        <v>1000</v>
      </c>
      <c r="L38" s="11">
        <v>1000</v>
      </c>
      <c r="M38" s="11">
        <v>1000</v>
      </c>
      <c r="N38" s="11">
        <f t="shared" si="20"/>
        <v>12000</v>
      </c>
    </row>
    <row r="39" spans="1:14" ht="24" customHeight="1" thickBot="1" x14ac:dyDescent="0.3">
      <c r="A39" s="4" t="s">
        <v>10</v>
      </c>
      <c r="B39" s="11">
        <v>0</v>
      </c>
      <c r="C39" s="11">
        <f>4915.6</f>
        <v>4915.6000000000004</v>
      </c>
      <c r="D39" s="11">
        <v>0</v>
      </c>
      <c r="E39" s="11">
        <f>125+4521.8</f>
        <v>4646.8</v>
      </c>
      <c r="F39" s="11">
        <v>0</v>
      </c>
      <c r="G39" s="11">
        <f>60000</f>
        <v>60000</v>
      </c>
      <c r="H39" s="11">
        <v>0</v>
      </c>
      <c r="I39" s="11">
        <v>0</v>
      </c>
      <c r="J39" s="11">
        <v>0</v>
      </c>
      <c r="K39" s="11">
        <f>1421.9+1691.2</f>
        <v>3113.1000000000004</v>
      </c>
      <c r="L39" s="11">
        <f>2000+16598.2</f>
        <v>18598.2</v>
      </c>
      <c r="M39" s="11">
        <f>19378.8</f>
        <v>19378.8</v>
      </c>
      <c r="N39" s="11">
        <f t="shared" si="20"/>
        <v>110652.5</v>
      </c>
    </row>
    <row r="40" spans="1:14" ht="22.5" customHeight="1" thickBot="1" x14ac:dyDescent="0.3">
      <c r="A40" s="9" t="s">
        <v>24</v>
      </c>
      <c r="B40" s="10">
        <f t="shared" ref="B40:M40" si="28">SUM(B26:B39)</f>
        <v>42503.322830000005</v>
      </c>
      <c r="C40" s="10">
        <f t="shared" si="28"/>
        <v>48321.168859999998</v>
      </c>
      <c r="D40" s="10">
        <f t="shared" si="28"/>
        <v>43276.275500000003</v>
      </c>
      <c r="E40" s="10">
        <f t="shared" si="28"/>
        <v>47819.776800000007</v>
      </c>
      <c r="F40" s="10">
        <f t="shared" si="28"/>
        <v>42962.207000000002</v>
      </c>
      <c r="G40" s="10">
        <f t="shared" si="28"/>
        <v>102636.0246</v>
      </c>
      <c r="H40" s="10">
        <f t="shared" si="28"/>
        <v>44651.479780000001</v>
      </c>
      <c r="I40" s="10">
        <f t="shared" si="28"/>
        <v>44992.37356</v>
      </c>
      <c r="J40" s="10">
        <f t="shared" si="28"/>
        <v>44822.662060000002</v>
      </c>
      <c r="K40" s="10">
        <f t="shared" si="28"/>
        <v>58120.955159999998</v>
      </c>
      <c r="L40" s="10">
        <f t="shared" si="28"/>
        <v>63845.445160000003</v>
      </c>
      <c r="M40" s="10">
        <f t="shared" si="28"/>
        <v>64406.406759999998</v>
      </c>
      <c r="N40" s="10">
        <f>SUM(B40:M40)</f>
        <v>648358.09806999995</v>
      </c>
    </row>
    <row r="41" spans="1:14" ht="23.25" customHeight="1" thickBot="1" x14ac:dyDescent="0.3">
      <c r="A41" s="4" t="s">
        <v>5</v>
      </c>
      <c r="B41" s="18">
        <f t="shared" ref="B41:N41" si="29">B16-B40</f>
        <v>12815.61716999999</v>
      </c>
      <c r="C41" s="18">
        <f t="shared" si="29"/>
        <v>-6059.8888599999991</v>
      </c>
      <c r="D41" s="18">
        <f t="shared" si="29"/>
        <v>-5573.1955000000016</v>
      </c>
      <c r="E41" s="18">
        <f t="shared" si="29"/>
        <v>-13559.986800000006</v>
      </c>
      <c r="F41" s="18">
        <f t="shared" si="29"/>
        <v>149848.55299999999</v>
      </c>
      <c r="G41" s="18">
        <f t="shared" si="29"/>
        <v>-49533.044600000008</v>
      </c>
      <c r="H41" s="18">
        <f t="shared" si="29"/>
        <v>6676.3002199999974</v>
      </c>
      <c r="I41" s="18">
        <f t="shared" si="29"/>
        <v>22348.106439999981</v>
      </c>
      <c r="J41" s="18">
        <f t="shared" si="29"/>
        <v>-7946.2620599999937</v>
      </c>
      <c r="K41" s="18">
        <f t="shared" si="29"/>
        <v>-7864.6751599999989</v>
      </c>
      <c r="L41" s="18">
        <f t="shared" si="29"/>
        <v>-14363.295159999994</v>
      </c>
      <c r="M41" s="18">
        <f t="shared" si="29"/>
        <v>13242.383239999996</v>
      </c>
      <c r="N41" s="11">
        <f t="shared" si="29"/>
        <v>100030.61193000013</v>
      </c>
    </row>
    <row r="42" spans="1:14" ht="23.25" customHeight="1" thickBot="1" x14ac:dyDescent="0.3">
      <c r="A42" s="4" t="s">
        <v>7</v>
      </c>
      <c r="B42" s="14">
        <f t="shared" ref="B42:N42" si="30">B5+B41</f>
        <v>-453383.69283000001</v>
      </c>
      <c r="C42" s="14">
        <f t="shared" si="30"/>
        <v>-459443.58169000002</v>
      </c>
      <c r="D42" s="14">
        <f t="shared" si="30"/>
        <v>-465016.77719000005</v>
      </c>
      <c r="E42" s="14">
        <f t="shared" si="30"/>
        <v>-478576.76399000006</v>
      </c>
      <c r="F42" s="14">
        <f t="shared" si="30"/>
        <v>-328728.21099000005</v>
      </c>
      <c r="G42" s="14">
        <f t="shared" si="30"/>
        <v>-378261.25559000007</v>
      </c>
      <c r="H42" s="14">
        <f t="shared" si="30"/>
        <v>-371584.9553700001</v>
      </c>
      <c r="I42" s="14">
        <f t="shared" si="30"/>
        <v>-349236.84893000009</v>
      </c>
      <c r="J42" s="14">
        <f t="shared" si="30"/>
        <v>-357183.11099000007</v>
      </c>
      <c r="K42" s="14">
        <f t="shared" si="30"/>
        <v>-365047.78615000006</v>
      </c>
      <c r="L42" s="14">
        <f t="shared" si="30"/>
        <v>-379411.08131000004</v>
      </c>
      <c r="M42" s="14">
        <f t="shared" si="30"/>
        <v>-366168.69807000004</v>
      </c>
      <c r="N42" s="14">
        <f t="shared" si="30"/>
        <v>-366168.69806999987</v>
      </c>
    </row>
    <row r="43" spans="1:14" ht="23.25" customHeight="1" thickBot="1" x14ac:dyDescent="0.3">
      <c r="A43" s="4" t="s">
        <v>43</v>
      </c>
      <c r="B43" s="11">
        <v>0</v>
      </c>
      <c r="C43" s="11">
        <v>0</v>
      </c>
      <c r="D43" s="11">
        <v>4212.08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21">
        <f>SUM(B43:M43)</f>
        <v>4212.08</v>
      </c>
    </row>
    <row r="44" spans="1:14" ht="27" customHeight="1" thickBot="1" x14ac:dyDescent="0.3">
      <c r="A44" s="15" t="s">
        <v>11</v>
      </c>
      <c r="B44" s="19">
        <f t="shared" ref="B44:C44" si="31">B6+B16-B7</f>
        <v>-289407.88</v>
      </c>
      <c r="C44" s="19">
        <f t="shared" si="31"/>
        <v>-303597.06</v>
      </c>
      <c r="D44" s="19">
        <f>D6+D16-D7+D43</f>
        <v>-318593.58999999997</v>
      </c>
      <c r="E44" s="19">
        <f t="shared" ref="E44:N44" si="32">E6+E16-E7+E43</f>
        <v>-341245.49</v>
      </c>
      <c r="F44" s="19">
        <f t="shared" si="32"/>
        <v>-205346.42</v>
      </c>
      <c r="G44" s="19">
        <f t="shared" si="32"/>
        <v>-209155.13</v>
      </c>
      <c r="H44" s="19">
        <f t="shared" si="32"/>
        <v>-226814.35000000003</v>
      </c>
      <c r="I44" s="19">
        <f t="shared" si="32"/>
        <v>-228471.55000000008</v>
      </c>
      <c r="J44" s="19">
        <f t="shared" si="32"/>
        <v>-260592.8300000001</v>
      </c>
      <c r="K44" s="19">
        <f t="shared" si="32"/>
        <v>-279134.2300000001</v>
      </c>
      <c r="L44" s="19">
        <f t="shared" si="32"/>
        <v>-298449.76000000013</v>
      </c>
      <c r="M44" s="19">
        <f t="shared" si="32"/>
        <v>-289598.65000000014</v>
      </c>
      <c r="N44" s="19">
        <f t="shared" si="32"/>
        <v>-289598.65000000008</v>
      </c>
    </row>
  </sheetData>
  <mergeCells count="1">
    <mergeCell ref="A1:N1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2026-02-17T02:35:10Z</cp:lastPrinted>
  <dcterms:created xsi:type="dcterms:W3CDTF">2011-06-06T03:25:48Z</dcterms:created>
  <dcterms:modified xsi:type="dcterms:W3CDTF">2026-02-17T02:44:10Z</dcterms:modified>
</cp:coreProperties>
</file>