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M38" i="1" l="1"/>
  <c r="L38" i="1" l="1"/>
  <c r="K38" i="1" l="1"/>
  <c r="K33" i="1" l="1"/>
  <c r="L33" i="1"/>
  <c r="M33" i="1"/>
  <c r="L30" i="1"/>
  <c r="M30" i="1"/>
  <c r="K30" i="1"/>
  <c r="M28" i="1" l="1"/>
  <c r="M17" i="1"/>
  <c r="M27" i="1"/>
  <c r="M9" i="1"/>
  <c r="L28" i="1" l="1"/>
  <c r="L17" i="1"/>
  <c r="L27" i="1"/>
  <c r="L9" i="1"/>
  <c r="K28" i="1" l="1"/>
  <c r="K17" i="1"/>
  <c r="K27" i="1"/>
  <c r="K9" i="1"/>
  <c r="K34" i="1" l="1"/>
  <c r="L34" i="1"/>
  <c r="M34" i="1"/>
  <c r="K29" i="1"/>
  <c r="L29" i="1"/>
  <c r="M29" i="1"/>
  <c r="K26" i="1"/>
  <c r="L26" i="1"/>
  <c r="M26" i="1"/>
  <c r="K25" i="1"/>
  <c r="L25" i="1"/>
  <c r="M25" i="1"/>
  <c r="J38" i="1" l="1"/>
  <c r="H23" i="1" l="1"/>
  <c r="I23" i="1"/>
  <c r="G23" i="1" l="1"/>
  <c r="F23" i="1"/>
  <c r="E23" i="1"/>
  <c r="C23" i="1"/>
  <c r="D23" i="1"/>
  <c r="B23" i="1"/>
  <c r="C15" i="1"/>
  <c r="D15" i="1"/>
  <c r="E15" i="1"/>
  <c r="F15" i="1"/>
  <c r="G15" i="1"/>
  <c r="B15" i="1"/>
  <c r="I33" i="1" l="1"/>
  <c r="J33" i="1"/>
  <c r="H33" i="1"/>
  <c r="J30" i="1"/>
  <c r="I38" i="1" l="1"/>
  <c r="J28" i="1" l="1"/>
  <c r="J17" i="1"/>
  <c r="J27" i="1"/>
  <c r="J9" i="1"/>
  <c r="I29" i="1" l="1"/>
  <c r="I28" i="1"/>
  <c r="I17" i="1"/>
  <c r="I27" i="1"/>
  <c r="I9" i="1"/>
  <c r="H38" i="1" l="1"/>
  <c r="H28" i="1" l="1"/>
  <c r="H17" i="1"/>
  <c r="H27" i="1"/>
  <c r="H9" i="1"/>
  <c r="H29" i="1"/>
  <c r="J29" i="1"/>
  <c r="H26" i="1"/>
  <c r="I26" i="1"/>
  <c r="J26" i="1"/>
  <c r="H25" i="1"/>
  <c r="I25" i="1"/>
  <c r="J25" i="1"/>
  <c r="I34" i="1" l="1"/>
  <c r="J34" i="1"/>
  <c r="H34" i="1"/>
  <c r="F38" i="1" l="1"/>
  <c r="E33" i="1" l="1"/>
  <c r="F33" i="1"/>
  <c r="G33" i="1"/>
  <c r="G28" i="1" l="1"/>
  <c r="G17" i="1"/>
  <c r="G27" i="1"/>
  <c r="G9" i="1"/>
  <c r="F28" i="1" l="1"/>
  <c r="F17" i="1"/>
  <c r="F27" i="1"/>
  <c r="F9" i="1"/>
  <c r="E28" i="1" l="1"/>
  <c r="E17" i="1"/>
  <c r="E27" i="1"/>
  <c r="E9" i="1"/>
  <c r="E38" i="1" l="1"/>
  <c r="E34" i="1" l="1"/>
  <c r="F34" i="1"/>
  <c r="G34" i="1"/>
  <c r="E29" i="1"/>
  <c r="F29" i="1"/>
  <c r="G29" i="1"/>
  <c r="E26" i="1"/>
  <c r="F26" i="1"/>
  <c r="G26" i="1"/>
  <c r="E25" i="1"/>
  <c r="F25" i="1"/>
  <c r="G25" i="1"/>
  <c r="C33" i="1" l="1"/>
  <c r="D33" i="1"/>
  <c r="B33" i="1"/>
  <c r="C38" i="1" l="1"/>
  <c r="B38" i="1" l="1"/>
  <c r="C29" i="1" l="1"/>
  <c r="D29" i="1"/>
  <c r="B29" i="1"/>
  <c r="D27" i="1"/>
  <c r="C27" i="1"/>
  <c r="D26" i="1"/>
  <c r="C26" i="1"/>
  <c r="D28" i="1" l="1"/>
  <c r="D17" i="1"/>
  <c r="D9" i="1"/>
  <c r="C28" i="1" l="1"/>
  <c r="C17" i="1"/>
  <c r="C9" i="1" l="1"/>
  <c r="B28" i="1" l="1"/>
  <c r="B17" i="1"/>
  <c r="B27" i="1"/>
  <c r="B9" i="1"/>
  <c r="C34" i="1" l="1"/>
  <c r="D34" i="1"/>
  <c r="C25" i="1"/>
  <c r="D25" i="1"/>
  <c r="B34" i="1"/>
  <c r="B26" i="1"/>
  <c r="B25" i="1"/>
  <c r="N36" i="1" l="1"/>
  <c r="N35" i="1" l="1"/>
  <c r="N14" i="1" l="1"/>
  <c r="N22" i="1" l="1"/>
  <c r="N7" i="1" l="1"/>
  <c r="N6" i="1" l="1"/>
  <c r="J16" i="1"/>
  <c r="N9" i="1" l="1"/>
  <c r="L16" i="1"/>
  <c r="L8" i="1"/>
  <c r="K8" i="1"/>
  <c r="N25" i="1"/>
  <c r="N26" i="1"/>
  <c r="N29" i="1"/>
  <c r="N30" i="1"/>
  <c r="N31" i="1"/>
  <c r="N32" i="1"/>
  <c r="N33" i="1"/>
  <c r="N34" i="1"/>
  <c r="N37" i="1"/>
  <c r="N18" i="1"/>
  <c r="N19" i="1"/>
  <c r="N20" i="1"/>
  <c r="N21" i="1"/>
  <c r="N23" i="1"/>
  <c r="N17" i="1"/>
  <c r="K16" i="1"/>
  <c r="M16" i="1"/>
  <c r="N10" i="1"/>
  <c r="N11" i="1"/>
  <c r="N12" i="1"/>
  <c r="N13" i="1"/>
  <c r="N15" i="1"/>
  <c r="M39" i="1" l="1"/>
  <c r="L39" i="1"/>
  <c r="L40" i="1" s="1"/>
  <c r="M8" i="1"/>
  <c r="M40" i="1" l="1"/>
  <c r="K39" i="1"/>
  <c r="K40" i="1" l="1"/>
  <c r="H16" i="1" l="1"/>
  <c r="I16" i="1"/>
  <c r="H8" i="1"/>
  <c r="I8" i="1"/>
  <c r="J8" i="1"/>
  <c r="J39" i="1" l="1"/>
  <c r="I39" i="1"/>
  <c r="I40" i="1" s="1"/>
  <c r="N38" i="1" l="1"/>
  <c r="J40" i="1"/>
  <c r="H39" i="1"/>
  <c r="H40" i="1" l="1"/>
  <c r="G8" i="1"/>
  <c r="E16" i="1"/>
  <c r="F16" i="1"/>
  <c r="G16" i="1"/>
  <c r="E8" i="1"/>
  <c r="F8" i="1"/>
  <c r="D16" i="1"/>
  <c r="D8" i="1"/>
  <c r="C16" i="1"/>
  <c r="C8" i="1"/>
  <c r="B16" i="1"/>
  <c r="B8" i="1"/>
  <c r="N16" i="1" l="1"/>
  <c r="N8" i="1"/>
  <c r="G39" i="1"/>
  <c r="G40" i="1" s="1"/>
  <c r="B39" i="1"/>
  <c r="B42" i="1"/>
  <c r="C39" i="1"/>
  <c r="C40" i="1" s="1"/>
  <c r="N28" i="1"/>
  <c r="N27" i="1"/>
  <c r="E39" i="1"/>
  <c r="E40" i="1" s="1"/>
  <c r="D39" i="1"/>
  <c r="D40" i="1" s="1"/>
  <c r="F39" i="1"/>
  <c r="N42" i="1" l="1"/>
  <c r="B40" i="1"/>
  <c r="B41" i="1" s="1"/>
  <c r="N39" i="1"/>
  <c r="F40" i="1"/>
  <c r="C7" i="1"/>
  <c r="C42" i="1" s="1"/>
  <c r="D7" i="1" s="1"/>
  <c r="D42" i="1" s="1"/>
  <c r="N40" i="1" l="1"/>
  <c r="N41" i="1" s="1"/>
  <c r="E7" i="1"/>
  <c r="E42" i="1" s="1"/>
  <c r="F7" i="1" s="1"/>
  <c r="F42" i="1" s="1"/>
  <c r="N44" i="1"/>
  <c r="G7" i="1" l="1"/>
  <c r="G42" i="1" l="1"/>
  <c r="H7" i="1" s="1"/>
  <c r="H42" i="1" s="1"/>
  <c r="I7" i="1" s="1"/>
  <c r="I42" i="1" s="1"/>
  <c r="C6" i="1"/>
  <c r="C41" i="1" s="1"/>
  <c r="J7" i="1" l="1"/>
  <c r="J42" i="1" s="1"/>
  <c r="D6" i="1"/>
  <c r="D41" i="1" s="1"/>
  <c r="K7" i="1" l="1"/>
  <c r="K42" i="1" s="1"/>
  <c r="E6" i="1"/>
  <c r="E41" i="1" s="1"/>
  <c r="L7" i="1" l="1"/>
  <c r="F6" i="1"/>
  <c r="F41" i="1" s="1"/>
  <c r="G6" i="1" s="1"/>
  <c r="L42" i="1" l="1"/>
  <c r="M7" i="1" s="1"/>
  <c r="M42" i="1" s="1"/>
  <c r="G41" i="1"/>
  <c r="H6" i="1" s="1"/>
  <c r="H41" i="1" s="1"/>
  <c r="I6" i="1" s="1"/>
  <c r="I41" i="1" s="1"/>
  <c r="J6" i="1" s="1"/>
  <c r="J41" i="1" s="1"/>
  <c r="K6" i="1" s="1"/>
  <c r="K41" i="1" s="1"/>
  <c r="L6" i="1" s="1"/>
  <c r="L41" i="1" s="1"/>
  <c r="M6" i="1" s="1"/>
  <c r="M41" i="1" s="1"/>
</calcChain>
</file>

<file path=xl/sharedStrings.xml><?xml version="1.0" encoding="utf-8"?>
<sst xmlns="http://schemas.openxmlformats.org/spreadsheetml/2006/main" count="55" uniqueCount="45">
  <si>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</si>
  <si>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</si>
  <si>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</si>
  <si>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</si>
  <si>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</si>
  <si>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</si>
  <si>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</si>
  <si>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</si>
  <si>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</si>
  <si>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</si>
  <si>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</si>
  <si>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</si>
  <si>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</si>
  <si>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</si>
  <si>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</si>
  <si>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</si>
  <si>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</si>
  <si>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</si>
  <si>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</si>
  <si>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</si>
  <si>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</si>
  <si>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</si>
  <si>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</si>
  <si>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</si>
  <si>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 xml:space="preserve">                 ОТЧЕТ по дому Матросова, 45</t>
  </si>
  <si>
    <t xml:space="preserve">Тех. обслуживание общедомовых приборов учета </t>
  </si>
  <si>
    <t>Отведение сточных вод ОИ</t>
  </si>
  <si>
    <t xml:space="preserve">Содержание жилья и текущий ремонт,  ОПУ </t>
  </si>
  <si>
    <t>Корректировка задолженности по оплате по решению Арбитражного суда за предыдущие периоды</t>
  </si>
  <si>
    <t>Вознаграждение совета МКД</t>
  </si>
  <si>
    <t>Налоги с вознаграждения совета МКД</t>
  </si>
  <si>
    <t>Январь 2025г.</t>
  </si>
  <si>
    <t>Февраль 2025г.</t>
  </si>
  <si>
    <t>Март 2025г.</t>
  </si>
  <si>
    <t>Апрель 2025г.</t>
  </si>
  <si>
    <t>Май 2025г.</t>
  </si>
  <si>
    <t>Июнь 2025г.</t>
  </si>
  <si>
    <t>Июль 2025г.</t>
  </si>
  <si>
    <t>Август 2025г.</t>
  </si>
  <si>
    <t>Сентябрь 2025г.</t>
  </si>
  <si>
    <t>Октябрь 2025г</t>
  </si>
  <si>
    <t>Ноябрь 2025г</t>
  </si>
  <si>
    <t>Декабрь 2025г</t>
  </si>
  <si>
    <t>Всего:                       за  2025г.</t>
  </si>
  <si>
    <r>
      <t xml:space="preserve">за период </t>
    </r>
    <r>
      <rPr>
        <b/>
        <u/>
        <sz val="16"/>
        <rFont val="Times New Roman"/>
        <family val="1"/>
        <charset val="204"/>
      </rPr>
      <t>01.01.2025г. по 31.12.2025г.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</si>
</sst>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10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7" fillId="0" borderId="0" xfId="0" applyFont="1"/>
    <xf numFmtId="0" fontId="0" fillId="0" borderId="0" xfId="0" applyBorder="1"/>
    <xf numFmtId="0" fontId="8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164" fontId="9" fillId="2" borderId="4" xfId="0" applyNumberFormat="1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vertical="top" wrapText="1"/>
    </xf>
    <xf numFmtId="164" fontId="9" fillId="3" borderId="4" xfId="0" applyNumberFormat="1" applyFont="1" applyFill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9" fillId="4" borderId="3" xfId="0" applyFont="1" applyFill="1" applyBorder="1" applyAlignment="1">
      <alignment vertical="top" wrapText="1"/>
    </xf>
    <xf numFmtId="164" fontId="9" fillId="4" borderId="4" xfId="0" applyNumberFormat="1" applyFont="1" applyFill="1" applyBorder="1" applyAlignment="1">
      <alignment horizontal="left" vertical="top" wrapText="1"/>
    </xf>
    <xf numFmtId="164" fontId="8" fillId="0" borderId="1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left" vertical="top" wrapText="1"/>
    </xf>
    <xf numFmtId="164" fontId="9" fillId="0" borderId="2" xfId="0" applyNumberFormat="1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64" fontId="8" fillId="0" borderId="4" xfId="0" applyNumberFormat="1" applyFont="1" applyFill="1" applyBorder="1" applyAlignment="1">
      <alignment horizontal="left" vertical="top" wrapText="1"/>
    </xf>
    <xf numFmtId="4" fontId="9" fillId="0" borderId="1" xfId="0" applyNumberFormat="1" applyFont="1" applyBorder="1" applyAlignment="1">
      <alignment horizontal="left"/>
    </xf>
    <xf numFmtId="164" fontId="9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9" fillId="0" borderId="7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7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29" zoomScale="75" workbookViewId="0">
      <selection activeCell="A29" sqref="A1:H1048576"/>
    </sheetView>
  </sheetViews>
  <sheetFormatPr defaultRowHeight="13.2" x14ac:dyDescent="0.25"/>
  <cols>
    <col min="1" max="1" width="58.6640625" customWidth="1"/>
    <col min="2" max="2" width="15.33203125" customWidth="1"/>
    <col min="3" max="3" width="13.88671875" customWidth="1"/>
    <col min="4" max="4" width="14.6640625" customWidth="1"/>
    <col min="5" max="5" width="14.33203125" customWidth="1"/>
    <col min="6" max="6" width="14.6640625" customWidth="1"/>
    <col min="7" max="7" width="14.88671875" customWidth="1"/>
    <col min="8" max="8" width="14.5546875" customWidth="1"/>
    <col min="9" max="9" width="15" customWidth="1"/>
    <col min="10" max="13" width="15.44140625" customWidth="1"/>
    <col min="14" max="14" width="15.88671875" customWidth="1"/>
  </cols>
  <sheetData>
    <row r="1" spans="1:18" ht="20.25" customHeight="1" x14ac:dyDescent="0.4">
      <c r="A1" s="22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20.399999999999999" x14ac:dyDescent="0.35">
      <c r="A2" s="24" t="s">
        <v>44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8" ht="7.5" customHeight="1" thickBot="1" x14ac:dyDescent="0.3">
      <c r="A3" s="1"/>
      <c r="R3" s="2"/>
    </row>
    <row r="4" spans="1:18" ht="3" hidden="1" customHeight="1" thickBot="1" x14ac:dyDescent="0.3">
      <c r="A4" s="1"/>
    </row>
    <row r="5" spans="1:18" ht="38.25" customHeight="1" thickBot="1" x14ac:dyDescent="0.3">
      <c r="A5" s="5" t="s">
        <v>0</v>
      </c>
      <c r="B5" s="6" t="s">
        <v>31</v>
      </c>
      <c r="C5" s="6" t="s">
        <v>32</v>
      </c>
      <c r="D5" s="6" t="s">
        <v>33</v>
      </c>
      <c r="E5" s="6" t="s">
        <v>34</v>
      </c>
      <c r="F5" s="6" t="s">
        <v>35</v>
      </c>
      <c r="G5" s="6" t="s">
        <v>36</v>
      </c>
      <c r="H5" s="6" t="s">
        <v>37</v>
      </c>
      <c r="I5" s="6" t="s">
        <v>38</v>
      </c>
      <c r="J5" s="6" t="s">
        <v>39</v>
      </c>
      <c r="K5" s="6" t="s">
        <v>40</v>
      </c>
      <c r="L5" s="6" t="s">
        <v>41</v>
      </c>
      <c r="M5" s="6" t="s">
        <v>42</v>
      </c>
      <c r="N5" s="6" t="s">
        <v>43</v>
      </c>
    </row>
    <row r="6" spans="1:18" ht="23.25" customHeight="1" thickBot="1" x14ac:dyDescent="0.3">
      <c r="A6" s="7" t="s">
        <v>15</v>
      </c>
      <c r="B6" s="8">
        <v>-726661.49</v>
      </c>
      <c r="C6" s="8">
        <f>B41</f>
        <v>-720156.86002000002</v>
      </c>
      <c r="D6" s="8">
        <f t="shared" ref="D6" si="0">C41</f>
        <v>-702748.48126000003</v>
      </c>
      <c r="E6" s="8">
        <f t="shared" ref="E6" si="1">D41</f>
        <v>-705160.12800000003</v>
      </c>
      <c r="F6" s="8">
        <f t="shared" ref="F6" si="2">E41</f>
        <v>-700872.81293999997</v>
      </c>
      <c r="G6" s="8">
        <f>F41</f>
        <v>-717748.45617999998</v>
      </c>
      <c r="H6" s="8">
        <f t="shared" ref="H6:J6" si="3">G41</f>
        <v>-725046.18571999995</v>
      </c>
      <c r="I6" s="8">
        <f t="shared" si="3"/>
        <v>-749910.06187999994</v>
      </c>
      <c r="J6" s="8">
        <f t="shared" si="3"/>
        <v>-760565.14097999991</v>
      </c>
      <c r="K6" s="8">
        <f t="shared" ref="K6" si="4">J41</f>
        <v>-819353.32059999986</v>
      </c>
      <c r="L6" s="8">
        <f t="shared" ref="L6" si="5">K41</f>
        <v>-821322.34733999986</v>
      </c>
      <c r="M6" s="8">
        <f t="shared" ref="M6" si="6">L41</f>
        <v>-773620.31697999989</v>
      </c>
      <c r="N6" s="8">
        <f>B6</f>
        <v>-726661.49</v>
      </c>
    </row>
    <row r="7" spans="1:18" ht="21" customHeight="1" thickBot="1" x14ac:dyDescent="0.3">
      <c r="A7" s="7" t="s">
        <v>13</v>
      </c>
      <c r="B7" s="8">
        <v>-681505.27</v>
      </c>
      <c r="C7" s="8">
        <f>B42</f>
        <v>-689594.46</v>
      </c>
      <c r="D7" s="8">
        <f>C42</f>
        <v>-686122.39999999991</v>
      </c>
      <c r="E7" s="8">
        <f>D42</f>
        <v>-702415.48999999987</v>
      </c>
      <c r="F7" s="8">
        <f>E42</f>
        <v>-710769.6399999999</v>
      </c>
      <c r="G7" s="8">
        <f t="shared" ref="G7" si="7">F42</f>
        <v>-716433.41999999993</v>
      </c>
      <c r="H7" s="8">
        <f t="shared" ref="H7:M7" si="8">G42</f>
        <v>-737385.99</v>
      </c>
      <c r="I7" s="8">
        <f t="shared" si="8"/>
        <v>-768983.67</v>
      </c>
      <c r="J7" s="8">
        <f t="shared" si="8"/>
        <v>-797306.26000000013</v>
      </c>
      <c r="K7" s="8">
        <f t="shared" si="8"/>
        <v>-791889.99000000011</v>
      </c>
      <c r="L7" s="8">
        <f t="shared" si="8"/>
        <v>-822924.88000000012</v>
      </c>
      <c r="M7" s="8">
        <f t="shared" si="8"/>
        <v>-784994.22000000009</v>
      </c>
      <c r="N7" s="8">
        <f>B7</f>
        <v>-681505.27</v>
      </c>
    </row>
    <row r="8" spans="1:18" ht="20.25" customHeight="1" thickBot="1" x14ac:dyDescent="0.3">
      <c r="A8" s="9" t="s">
        <v>12</v>
      </c>
      <c r="B8" s="10">
        <f t="shared" ref="B8:M8" si="9">SUM(B9:B15)</f>
        <v>72251.240000000005</v>
      </c>
      <c r="C8" s="10">
        <f t="shared" si="9"/>
        <v>72251.240000000005</v>
      </c>
      <c r="D8" s="10">
        <f t="shared" si="9"/>
        <v>72251.240000000005</v>
      </c>
      <c r="E8" s="10">
        <f t="shared" si="9"/>
        <v>72251.240000000005</v>
      </c>
      <c r="F8" s="10">
        <f t="shared" si="9"/>
        <v>72218.69</v>
      </c>
      <c r="G8" s="10">
        <f t="shared" si="9"/>
        <v>72218.69</v>
      </c>
      <c r="H8" s="10">
        <f t="shared" si="9"/>
        <v>88557.26</v>
      </c>
      <c r="I8" s="10">
        <f t="shared" si="9"/>
        <v>101780.3</v>
      </c>
      <c r="J8" s="10">
        <f t="shared" si="9"/>
        <v>91228.42</v>
      </c>
      <c r="K8" s="10">
        <f t="shared" si="9"/>
        <v>118258.99</v>
      </c>
      <c r="L8" s="10">
        <f t="shared" si="9"/>
        <v>88412.14</v>
      </c>
      <c r="M8" s="10">
        <f t="shared" si="9"/>
        <v>88407.360000000001</v>
      </c>
      <c r="N8" s="10">
        <f>SUM(B8:M8)</f>
        <v>1010086.81</v>
      </c>
    </row>
    <row r="9" spans="1:18" ht="24.75" customHeight="1" thickBot="1" x14ac:dyDescent="0.3">
      <c r="A9" s="4" t="s">
        <v>27</v>
      </c>
      <c r="B9" s="11">
        <f>63623.74+1481.01</f>
        <v>65104.75</v>
      </c>
      <c r="C9" s="11">
        <f>63623.74+1481.01</f>
        <v>65104.75</v>
      </c>
      <c r="D9" s="11">
        <f>63623.74+1481.01</f>
        <v>65104.75</v>
      </c>
      <c r="E9" s="11">
        <f>63623.74+1481.01</f>
        <v>65104.75</v>
      </c>
      <c r="F9" s="11">
        <f>63628.03+1481.11</f>
        <v>65109.14</v>
      </c>
      <c r="G9" s="11">
        <f>63628.03+1481.11</f>
        <v>65109.14</v>
      </c>
      <c r="H9" s="11">
        <f>79979.4+1481.11</f>
        <v>81460.509999999995</v>
      </c>
      <c r="I9" s="11">
        <f>79979.4+1481.11</f>
        <v>81460.509999999995</v>
      </c>
      <c r="J9" s="11">
        <f>79979.4+1481.11</f>
        <v>81460.509999999995</v>
      </c>
      <c r="K9" s="11">
        <f>79979.4+1481.11</f>
        <v>81460.509999999995</v>
      </c>
      <c r="L9" s="11">
        <f>79979.4+1481.11</f>
        <v>81460.509999999995</v>
      </c>
      <c r="M9" s="11">
        <f>79979.4+1481.12</f>
        <v>81460.51999999999</v>
      </c>
      <c r="N9" s="11">
        <f>SUM(B9:M9)</f>
        <v>879400.35000000009</v>
      </c>
    </row>
    <row r="10" spans="1:18" ht="24.75" customHeight="1" thickBot="1" x14ac:dyDescent="0.3">
      <c r="A10" s="4" t="s">
        <v>16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93.41</v>
      </c>
      <c r="L10" s="11">
        <v>0</v>
      </c>
      <c r="M10" s="11">
        <v>0</v>
      </c>
      <c r="N10" s="11">
        <f t="shared" ref="N10:N15" si="10">SUM(B10:M10)</f>
        <v>93.41</v>
      </c>
    </row>
    <row r="11" spans="1:18" ht="24.75" customHeight="1" thickBot="1" x14ac:dyDescent="0.3">
      <c r="A11" s="4" t="s">
        <v>17</v>
      </c>
      <c r="B11" s="11">
        <v>524.76</v>
      </c>
      <c r="C11" s="11">
        <v>524.76</v>
      </c>
      <c r="D11" s="11">
        <v>524.76</v>
      </c>
      <c r="E11" s="11">
        <v>524.76</v>
      </c>
      <c r="F11" s="11">
        <v>524.77</v>
      </c>
      <c r="G11" s="11">
        <v>524.77</v>
      </c>
      <c r="H11" s="11">
        <v>681.97</v>
      </c>
      <c r="I11" s="11">
        <v>681.97</v>
      </c>
      <c r="J11" s="11">
        <v>681.97</v>
      </c>
      <c r="K11" s="11">
        <v>681.97</v>
      </c>
      <c r="L11" s="11">
        <v>681.97</v>
      </c>
      <c r="M11" s="11">
        <v>681.99</v>
      </c>
      <c r="N11" s="11">
        <f t="shared" si="10"/>
        <v>7240.420000000001</v>
      </c>
    </row>
    <row r="12" spans="1:18" ht="24.75" customHeight="1" thickBot="1" x14ac:dyDescent="0.3">
      <c r="A12" s="4" t="s">
        <v>18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13168.16</v>
      </c>
      <c r="J12" s="11">
        <v>2616.2800000000002</v>
      </c>
      <c r="K12" s="11">
        <v>29753.439999999999</v>
      </c>
      <c r="L12" s="11">
        <v>0</v>
      </c>
      <c r="M12" s="11">
        <v>0</v>
      </c>
      <c r="N12" s="11">
        <f t="shared" si="10"/>
        <v>45537.88</v>
      </c>
    </row>
    <row r="13" spans="1:18" ht="24.75" customHeight="1" thickBot="1" x14ac:dyDescent="0.3">
      <c r="A13" s="4" t="s">
        <v>26</v>
      </c>
      <c r="B13" s="11">
        <v>529.24</v>
      </c>
      <c r="C13" s="11">
        <v>529.24</v>
      </c>
      <c r="D13" s="11">
        <v>529.24</v>
      </c>
      <c r="E13" s="11">
        <v>529.24</v>
      </c>
      <c r="F13" s="11">
        <v>529.28</v>
      </c>
      <c r="G13" s="11">
        <v>529.28</v>
      </c>
      <c r="H13" s="11">
        <v>529.28</v>
      </c>
      <c r="I13" s="11">
        <v>584.16</v>
      </c>
      <c r="J13" s="11">
        <v>584.16</v>
      </c>
      <c r="K13" s="11">
        <v>584.16</v>
      </c>
      <c r="L13" s="11">
        <v>584.16</v>
      </c>
      <c r="M13" s="11">
        <v>579.35</v>
      </c>
      <c r="N13" s="11">
        <f t="shared" si="10"/>
        <v>6620.7899999999991</v>
      </c>
    </row>
    <row r="14" spans="1:18" ht="24.75" customHeight="1" thickBot="1" x14ac:dyDescent="0.3">
      <c r="A14" s="4" t="s">
        <v>29</v>
      </c>
      <c r="B14" s="11">
        <v>5622.49</v>
      </c>
      <c r="C14" s="11">
        <v>5622.49</v>
      </c>
      <c r="D14" s="11">
        <v>5622.49</v>
      </c>
      <c r="E14" s="11">
        <v>5622.49</v>
      </c>
      <c r="F14" s="11">
        <v>5585.5</v>
      </c>
      <c r="G14" s="11">
        <v>5585.5</v>
      </c>
      <c r="H14" s="11">
        <v>5585.5</v>
      </c>
      <c r="I14" s="11">
        <v>5585.5</v>
      </c>
      <c r="J14" s="11">
        <v>5585.5</v>
      </c>
      <c r="K14" s="11">
        <v>5585.5</v>
      </c>
      <c r="L14" s="11">
        <v>5585.5</v>
      </c>
      <c r="M14" s="11">
        <v>5585.5</v>
      </c>
      <c r="N14" s="11">
        <f t="shared" si="10"/>
        <v>67173.959999999992</v>
      </c>
    </row>
    <row r="15" spans="1:18" ht="24.75" customHeight="1" thickBot="1" x14ac:dyDescent="0.3">
      <c r="A15" s="4" t="s">
        <v>14</v>
      </c>
      <c r="B15" s="11">
        <f>770-300</f>
        <v>470</v>
      </c>
      <c r="C15" s="11">
        <f t="shared" ref="C15:G15" si="11">770-300</f>
        <v>470</v>
      </c>
      <c r="D15" s="11">
        <f t="shared" si="11"/>
        <v>470</v>
      </c>
      <c r="E15" s="11">
        <f t="shared" si="11"/>
        <v>470</v>
      </c>
      <c r="F15" s="11">
        <f t="shared" si="11"/>
        <v>470</v>
      </c>
      <c r="G15" s="11">
        <f t="shared" si="11"/>
        <v>470</v>
      </c>
      <c r="H15" s="11">
        <v>300</v>
      </c>
      <c r="I15" s="11">
        <v>300</v>
      </c>
      <c r="J15" s="11">
        <v>300</v>
      </c>
      <c r="K15" s="11">
        <v>100</v>
      </c>
      <c r="L15" s="11">
        <v>100</v>
      </c>
      <c r="M15" s="11">
        <v>100</v>
      </c>
      <c r="N15" s="11">
        <f t="shared" si="10"/>
        <v>4020</v>
      </c>
    </row>
    <row r="16" spans="1:18" ht="20.25" customHeight="1" thickBot="1" x14ac:dyDescent="0.3">
      <c r="A16" s="12" t="s">
        <v>8</v>
      </c>
      <c r="B16" s="13">
        <f>SUM(B17:B23)</f>
        <v>64162.05</v>
      </c>
      <c r="C16" s="13">
        <f>SUM(C17:C23)</f>
        <v>75723.3</v>
      </c>
      <c r="D16" s="13">
        <f>SUM(D17:D23)</f>
        <v>55958.149999999994</v>
      </c>
      <c r="E16" s="13">
        <f t="shared" ref="E16:M16" si="12">SUM(E17:E23)</f>
        <v>63897.09</v>
      </c>
      <c r="F16" s="13">
        <f t="shared" si="12"/>
        <v>66554.91</v>
      </c>
      <c r="G16" s="13">
        <f t="shared" si="12"/>
        <v>51266.119999999995</v>
      </c>
      <c r="H16" s="13">
        <f t="shared" si="12"/>
        <v>56959.58</v>
      </c>
      <c r="I16" s="13">
        <f t="shared" si="12"/>
        <v>73457.709999999992</v>
      </c>
      <c r="J16" s="13">
        <f t="shared" si="12"/>
        <v>96644.690000000017</v>
      </c>
      <c r="K16" s="13">
        <f t="shared" si="12"/>
        <v>87224.1</v>
      </c>
      <c r="L16" s="13">
        <f t="shared" si="12"/>
        <v>126342.79999999999</v>
      </c>
      <c r="M16" s="13">
        <f t="shared" si="12"/>
        <v>79606.319999999992</v>
      </c>
      <c r="N16" s="13">
        <f>SUM(B16:M16)</f>
        <v>897796.82</v>
      </c>
    </row>
    <row r="17" spans="1:15" ht="24" customHeight="1" thickBot="1" x14ac:dyDescent="0.3">
      <c r="A17" s="4" t="s">
        <v>27</v>
      </c>
      <c r="B17" s="19">
        <f>50246.77+1142.94</f>
        <v>51389.71</v>
      </c>
      <c r="C17" s="11">
        <f>65647.55+1457.87+752.98</f>
        <v>67858.399999999994</v>
      </c>
      <c r="D17" s="11">
        <f>49570.42+1115.13</f>
        <v>50685.549999999996</v>
      </c>
      <c r="E17" s="11">
        <f>55595.88+3.36+1209.5+0.71</f>
        <v>56809.45</v>
      </c>
      <c r="F17" s="11">
        <f>58131.17+1748.45</f>
        <v>59879.619999999995</v>
      </c>
      <c r="G17" s="11">
        <f>45798.64+1023.11</f>
        <v>46821.75</v>
      </c>
      <c r="H17" s="11">
        <f>50351.14+3.23+1610.49+0.68</f>
        <v>51965.54</v>
      </c>
      <c r="I17" s="11">
        <f>66546.41+1326.44+3.17+0.67</f>
        <v>67876.69</v>
      </c>
      <c r="J17" s="11">
        <f>76539.61+4.13+1577.66</f>
        <v>78121.400000000009</v>
      </c>
      <c r="K17" s="11">
        <f>76210.63+22.88+1453.15+0.89</f>
        <v>77687.55</v>
      </c>
      <c r="L17" s="11">
        <f>91961.46+12.37+1741.73</f>
        <v>93715.56</v>
      </c>
      <c r="M17" s="11">
        <f>69861.03+1363.36</f>
        <v>71224.39</v>
      </c>
      <c r="N17" s="11">
        <f>SUM(B17:M17)</f>
        <v>774035.61</v>
      </c>
    </row>
    <row r="18" spans="1:15" ht="26.25" customHeight="1" thickBot="1" x14ac:dyDescent="0.3">
      <c r="A18" s="4" t="s">
        <v>16</v>
      </c>
      <c r="B18" s="11">
        <v>7.53</v>
      </c>
      <c r="C18" s="11">
        <v>24.75</v>
      </c>
      <c r="D18" s="11">
        <v>16.18</v>
      </c>
      <c r="E18" s="11">
        <v>33.28</v>
      </c>
      <c r="F18" s="11">
        <v>18.8</v>
      </c>
      <c r="G18" s="11">
        <v>7.59</v>
      </c>
      <c r="H18" s="11">
        <v>20.85</v>
      </c>
      <c r="I18" s="11">
        <v>9.65</v>
      </c>
      <c r="J18" s="11">
        <v>55.48</v>
      </c>
      <c r="K18" s="11">
        <v>44.98</v>
      </c>
      <c r="L18" s="11">
        <v>153.93</v>
      </c>
      <c r="M18" s="11">
        <v>37.03</v>
      </c>
      <c r="N18" s="11">
        <f t="shared" ref="N18:N23" si="13">SUM(B18:M18)</f>
        <v>430.04999999999995</v>
      </c>
    </row>
    <row r="19" spans="1:15" ht="26.25" customHeight="1" thickBot="1" x14ac:dyDescent="0.3">
      <c r="A19" s="4" t="s">
        <v>17</v>
      </c>
      <c r="B19" s="11">
        <v>408.57</v>
      </c>
      <c r="C19" s="11">
        <v>527.08000000000004</v>
      </c>
      <c r="D19" s="11">
        <v>417.65</v>
      </c>
      <c r="E19" s="11">
        <v>457.6</v>
      </c>
      <c r="F19" s="11">
        <v>460.34</v>
      </c>
      <c r="G19" s="11">
        <v>377.59</v>
      </c>
      <c r="H19" s="11">
        <v>414.16</v>
      </c>
      <c r="I19" s="11">
        <v>566.05999999999995</v>
      </c>
      <c r="J19" s="11">
        <v>663.83</v>
      </c>
      <c r="K19" s="11">
        <v>666.11</v>
      </c>
      <c r="L19" s="11">
        <v>774.14</v>
      </c>
      <c r="M19" s="11">
        <v>607.36</v>
      </c>
      <c r="N19" s="11">
        <f t="shared" si="13"/>
        <v>6340.49</v>
      </c>
    </row>
    <row r="20" spans="1:15" ht="26.25" customHeight="1" thickBot="1" x14ac:dyDescent="0.3">
      <c r="A20" s="4" t="s">
        <v>18</v>
      </c>
      <c r="B20" s="11">
        <v>7929.61</v>
      </c>
      <c r="C20" s="11">
        <v>2016.74</v>
      </c>
      <c r="D20" s="11">
        <v>379.03</v>
      </c>
      <c r="E20" s="11">
        <v>621.15</v>
      </c>
      <c r="F20" s="11">
        <v>635.23</v>
      </c>
      <c r="G20" s="11">
        <v>113.49</v>
      </c>
      <c r="H20" s="11">
        <v>198.34</v>
      </c>
      <c r="I20" s="11">
        <v>190.64</v>
      </c>
      <c r="J20" s="11">
        <v>10321.77</v>
      </c>
      <c r="K20" s="11">
        <v>2881.71</v>
      </c>
      <c r="L20" s="11">
        <v>23810.78</v>
      </c>
      <c r="M20" s="11">
        <v>1835.45</v>
      </c>
      <c r="N20" s="11">
        <f t="shared" si="13"/>
        <v>50933.939999999995</v>
      </c>
    </row>
    <row r="21" spans="1:15" ht="26.25" customHeight="1" thickBot="1" x14ac:dyDescent="0.3">
      <c r="A21" s="4" t="s">
        <v>26</v>
      </c>
      <c r="B21" s="11">
        <v>19.11</v>
      </c>
      <c r="C21" s="11">
        <v>135.97999999999999</v>
      </c>
      <c r="D21" s="11">
        <v>27.08</v>
      </c>
      <c r="E21" s="11">
        <v>75.959999999999994</v>
      </c>
      <c r="F21" s="11">
        <v>64.91</v>
      </c>
      <c r="G21" s="11">
        <v>32.799999999999997</v>
      </c>
      <c r="H21" s="11">
        <v>55.6</v>
      </c>
      <c r="I21" s="11">
        <v>68.02</v>
      </c>
      <c r="J21" s="11">
        <v>483.82</v>
      </c>
      <c r="K21" s="11">
        <v>549.96</v>
      </c>
      <c r="L21" s="11">
        <v>771.73</v>
      </c>
      <c r="M21" s="11">
        <v>514.30999999999995</v>
      </c>
      <c r="N21" s="11">
        <f t="shared" si="13"/>
        <v>2799.28</v>
      </c>
    </row>
    <row r="22" spans="1:15" ht="26.25" customHeight="1" thickBot="1" x14ac:dyDescent="0.3">
      <c r="A22" s="4" t="s">
        <v>29</v>
      </c>
      <c r="B22" s="11">
        <v>4307.5200000000004</v>
      </c>
      <c r="C22" s="11">
        <v>5060.3500000000004</v>
      </c>
      <c r="D22" s="11">
        <v>4332.66</v>
      </c>
      <c r="E22" s="11">
        <v>4679.6499999999996</v>
      </c>
      <c r="F22" s="11">
        <v>5396.01</v>
      </c>
      <c r="G22" s="11">
        <v>3812.9</v>
      </c>
      <c r="H22" s="11">
        <v>4205.09</v>
      </c>
      <c r="I22" s="11">
        <v>4646.6499999999996</v>
      </c>
      <c r="J22" s="11">
        <v>5498.39</v>
      </c>
      <c r="K22" s="11">
        <v>5293.79</v>
      </c>
      <c r="L22" s="11">
        <v>7016.66</v>
      </c>
      <c r="M22" s="11">
        <v>5287.78</v>
      </c>
      <c r="N22" s="11">
        <f t="shared" si="13"/>
        <v>59537.45</v>
      </c>
    </row>
    <row r="23" spans="1:15" ht="26.25" customHeight="1" thickBot="1" x14ac:dyDescent="0.3">
      <c r="A23" s="4" t="s">
        <v>14</v>
      </c>
      <c r="B23" s="14">
        <f>400-300</f>
        <v>100</v>
      </c>
      <c r="C23" s="14">
        <f t="shared" ref="C23:D23" si="14">400-300</f>
        <v>100</v>
      </c>
      <c r="D23" s="14">
        <f t="shared" si="14"/>
        <v>100</v>
      </c>
      <c r="E23" s="14">
        <f>1520-300</f>
        <v>1220</v>
      </c>
      <c r="F23" s="14">
        <f>400-300</f>
        <v>100</v>
      </c>
      <c r="G23" s="14">
        <f>400-300</f>
        <v>100</v>
      </c>
      <c r="H23" s="14">
        <f t="shared" ref="H23:I23" si="15">400-300</f>
        <v>100</v>
      </c>
      <c r="I23" s="14">
        <f t="shared" si="15"/>
        <v>100</v>
      </c>
      <c r="J23" s="11">
        <v>1500</v>
      </c>
      <c r="K23" s="11">
        <v>100</v>
      </c>
      <c r="L23" s="11">
        <v>100</v>
      </c>
      <c r="M23" s="11">
        <v>100</v>
      </c>
      <c r="N23" s="11">
        <f t="shared" si="13"/>
        <v>3720</v>
      </c>
      <c r="O23" s="3"/>
    </row>
    <row r="24" spans="1:15" ht="21.75" customHeight="1" thickBot="1" x14ac:dyDescent="0.3">
      <c r="A24" s="15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7"/>
    </row>
    <row r="25" spans="1:15" ht="19.5" customHeight="1" thickBot="1" x14ac:dyDescent="0.3">
      <c r="A25" s="4" t="s">
        <v>1</v>
      </c>
      <c r="B25" s="11">
        <f t="shared" ref="B25:M25" si="16">2962*0.6</f>
        <v>1777.2</v>
      </c>
      <c r="C25" s="11">
        <f t="shared" si="16"/>
        <v>1777.2</v>
      </c>
      <c r="D25" s="11">
        <f t="shared" si="16"/>
        <v>1777.2</v>
      </c>
      <c r="E25" s="11">
        <f t="shared" si="16"/>
        <v>1777.2</v>
      </c>
      <c r="F25" s="11">
        <f t="shared" si="16"/>
        <v>1777.2</v>
      </c>
      <c r="G25" s="11">
        <f t="shared" si="16"/>
        <v>1777.2</v>
      </c>
      <c r="H25" s="11">
        <f t="shared" si="16"/>
        <v>1777.2</v>
      </c>
      <c r="I25" s="11">
        <f t="shared" si="16"/>
        <v>1777.2</v>
      </c>
      <c r="J25" s="11">
        <f t="shared" si="16"/>
        <v>1777.2</v>
      </c>
      <c r="K25" s="11">
        <f t="shared" si="16"/>
        <v>1777.2</v>
      </c>
      <c r="L25" s="11">
        <f t="shared" si="16"/>
        <v>1777.2</v>
      </c>
      <c r="M25" s="11">
        <f t="shared" si="16"/>
        <v>1777.2</v>
      </c>
      <c r="N25" s="11">
        <f t="shared" ref="N25:N38" si="17">SUM(B25:M25)</f>
        <v>21326.400000000005</v>
      </c>
    </row>
    <row r="26" spans="1:15" ht="22.5" customHeight="1" thickBot="1" x14ac:dyDescent="0.3">
      <c r="A26" s="4" t="s">
        <v>2</v>
      </c>
      <c r="B26" s="11">
        <f t="shared" ref="B26" si="18">2962*0.17</f>
        <v>503.54</v>
      </c>
      <c r="C26" s="11">
        <f>2962*0.2</f>
        <v>592.4</v>
      </c>
      <c r="D26" s="11">
        <f>2962*0.2</f>
        <v>592.4</v>
      </c>
      <c r="E26" s="11">
        <f t="shared" ref="E26:M26" si="19">2962*0.2</f>
        <v>592.4</v>
      </c>
      <c r="F26" s="11">
        <f t="shared" si="19"/>
        <v>592.4</v>
      </c>
      <c r="G26" s="11">
        <f t="shared" si="19"/>
        <v>592.4</v>
      </c>
      <c r="H26" s="11">
        <f t="shared" si="19"/>
        <v>592.4</v>
      </c>
      <c r="I26" s="11">
        <f t="shared" si="19"/>
        <v>592.4</v>
      </c>
      <c r="J26" s="11">
        <f t="shared" si="19"/>
        <v>592.4</v>
      </c>
      <c r="K26" s="11">
        <f t="shared" si="19"/>
        <v>592.4</v>
      </c>
      <c r="L26" s="11">
        <f t="shared" si="19"/>
        <v>592.4</v>
      </c>
      <c r="M26" s="11">
        <f t="shared" si="19"/>
        <v>592.4</v>
      </c>
      <c r="N26" s="11">
        <f t="shared" si="17"/>
        <v>7019.9399999999987</v>
      </c>
    </row>
    <row r="27" spans="1:15" ht="21" customHeight="1" thickBot="1" x14ac:dyDescent="0.3">
      <c r="A27" s="4" t="s">
        <v>3</v>
      </c>
      <c r="B27" s="11">
        <f>71781.24*2.3%</f>
        <v>1650.9685200000001</v>
      </c>
      <c r="C27" s="11">
        <f>71781.24*2.6%</f>
        <v>1866.3122400000002</v>
      </c>
      <c r="D27" s="11">
        <f>71781.24*2.6%</f>
        <v>1866.3122400000002</v>
      </c>
      <c r="E27" s="11">
        <f>71781.24*2.6%</f>
        <v>1866.3122400000002</v>
      </c>
      <c r="F27" s="11">
        <f>71748.69*2.6%</f>
        <v>1865.4659400000003</v>
      </c>
      <c r="G27" s="11">
        <f>71748.69*2.6%</f>
        <v>1865.4659400000003</v>
      </c>
      <c r="H27" s="11">
        <f>88257.26*2.6%</f>
        <v>2294.68876</v>
      </c>
      <c r="I27" s="11">
        <f>101480.3*2.6%</f>
        <v>2638.4878000000003</v>
      </c>
      <c r="J27" s="11">
        <f>90928.42*2.6%</f>
        <v>2364.1389200000003</v>
      </c>
      <c r="K27" s="11">
        <f>118158.99*2.6%</f>
        <v>3072.1337400000002</v>
      </c>
      <c r="L27" s="11">
        <f>88312.14*2.6%</f>
        <v>2296.11564</v>
      </c>
      <c r="M27" s="11">
        <f>88307.36*2.6%</f>
        <v>2295.9913600000004</v>
      </c>
      <c r="N27" s="11">
        <f t="shared" si="17"/>
        <v>25942.393340000002</v>
      </c>
    </row>
    <row r="28" spans="1:15" ht="23.25" customHeight="1" thickBot="1" x14ac:dyDescent="0.3">
      <c r="A28" s="4" t="s">
        <v>4</v>
      </c>
      <c r="B28" s="11">
        <f>64062.05*3%</f>
        <v>1921.8615</v>
      </c>
      <c r="C28" s="11">
        <f>75623.3*3%</f>
        <v>2268.6990000000001</v>
      </c>
      <c r="D28" s="11">
        <f>55858.15*3%</f>
        <v>1675.7445</v>
      </c>
      <c r="E28" s="11">
        <f>62677.09*3%</f>
        <v>1880.3126999999997</v>
      </c>
      <c r="F28" s="11">
        <f>66454.91*3%</f>
        <v>1993.6473000000001</v>
      </c>
      <c r="G28" s="11">
        <f>51166.12*3%</f>
        <v>1534.9836</v>
      </c>
      <c r="H28" s="11">
        <f>56859.58*3%</f>
        <v>1705.7873999999999</v>
      </c>
      <c r="I28" s="11">
        <f>73357.71*3%</f>
        <v>2200.7312999999999</v>
      </c>
      <c r="J28" s="11">
        <f>95144.69*3%</f>
        <v>2854.3406999999997</v>
      </c>
      <c r="K28" s="11">
        <f>87124.1*3%</f>
        <v>2613.723</v>
      </c>
      <c r="L28" s="11">
        <f>126242.8*3%</f>
        <v>3787.2840000000001</v>
      </c>
      <c r="M28" s="11">
        <f>79506.32*3%</f>
        <v>2385.1896000000002</v>
      </c>
      <c r="N28" s="11">
        <f t="shared" si="17"/>
        <v>26822.304599999999</v>
      </c>
    </row>
    <row r="29" spans="1:15" ht="23.25" customHeight="1" thickBot="1" x14ac:dyDescent="0.3">
      <c r="A29" s="4" t="s">
        <v>9</v>
      </c>
      <c r="B29" s="11">
        <f>2962*12</f>
        <v>35544</v>
      </c>
      <c r="C29" s="11">
        <f t="shared" ref="C29:M29" si="20">2962*12</f>
        <v>35544</v>
      </c>
      <c r="D29" s="11">
        <f t="shared" si="20"/>
        <v>35544</v>
      </c>
      <c r="E29" s="11">
        <f t="shared" si="20"/>
        <v>35544</v>
      </c>
      <c r="F29" s="11">
        <f t="shared" si="20"/>
        <v>35544</v>
      </c>
      <c r="G29" s="11">
        <f t="shared" si="20"/>
        <v>35544</v>
      </c>
      <c r="H29" s="11">
        <f t="shared" si="20"/>
        <v>35544</v>
      </c>
      <c r="I29" s="11">
        <f t="shared" si="20"/>
        <v>35544</v>
      </c>
      <c r="J29" s="11">
        <f t="shared" si="20"/>
        <v>35544</v>
      </c>
      <c r="K29" s="11">
        <f t="shared" si="20"/>
        <v>35544</v>
      </c>
      <c r="L29" s="11">
        <f t="shared" si="20"/>
        <v>35544</v>
      </c>
      <c r="M29" s="11">
        <f t="shared" si="20"/>
        <v>35544</v>
      </c>
      <c r="N29" s="11">
        <f t="shared" si="17"/>
        <v>426528</v>
      </c>
    </row>
    <row r="30" spans="1:15" ht="26.25" customHeight="1" thickBot="1" x14ac:dyDescent="0.3">
      <c r="A30" s="4" t="s">
        <v>19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f>84.29+9.17</f>
        <v>93.460000000000008</v>
      </c>
      <c r="K30" s="11">
        <f>0+0</f>
        <v>0</v>
      </c>
      <c r="L30" s="11">
        <f t="shared" ref="L30:M30" si="21">0+0</f>
        <v>0</v>
      </c>
      <c r="M30" s="11">
        <f t="shared" si="21"/>
        <v>0</v>
      </c>
      <c r="N30" s="11">
        <f t="shared" si="17"/>
        <v>93.460000000000008</v>
      </c>
    </row>
    <row r="31" spans="1:15" ht="26.25" customHeight="1" thickBot="1" x14ac:dyDescent="0.3">
      <c r="A31" s="4" t="s">
        <v>20</v>
      </c>
      <c r="B31" s="11">
        <v>786.88</v>
      </c>
      <c r="C31" s="11">
        <v>786.88</v>
      </c>
      <c r="D31" s="11">
        <v>786.88</v>
      </c>
      <c r="E31" s="11">
        <v>786.88</v>
      </c>
      <c r="F31" s="11">
        <v>786.88</v>
      </c>
      <c r="G31" s="11">
        <v>786.88</v>
      </c>
      <c r="H31" s="11">
        <v>1022.97</v>
      </c>
      <c r="I31" s="11">
        <v>1022.97</v>
      </c>
      <c r="J31" s="11">
        <v>1022.97</v>
      </c>
      <c r="K31" s="11">
        <v>1022.97</v>
      </c>
      <c r="L31" s="11">
        <v>1022.97</v>
      </c>
      <c r="M31" s="11">
        <v>1022.97</v>
      </c>
      <c r="N31" s="11">
        <f t="shared" si="17"/>
        <v>10859.099999999999</v>
      </c>
    </row>
    <row r="32" spans="1:15" ht="26.25" customHeight="1" thickBot="1" x14ac:dyDescent="0.3">
      <c r="A32" s="4" t="s">
        <v>21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13168.2</v>
      </c>
      <c r="I32" s="11">
        <v>2616.3000000000002</v>
      </c>
      <c r="J32" s="11">
        <v>29753.4</v>
      </c>
      <c r="K32" s="11">
        <v>0</v>
      </c>
      <c r="L32" s="11">
        <v>0</v>
      </c>
      <c r="M32" s="11">
        <v>0</v>
      </c>
      <c r="N32" s="11">
        <f t="shared" si="17"/>
        <v>45537.9</v>
      </c>
    </row>
    <row r="33" spans="1:14" ht="26.25" customHeight="1" thickBot="1" x14ac:dyDescent="0.3">
      <c r="A33" s="4" t="s">
        <v>26</v>
      </c>
      <c r="B33" s="11">
        <f>529.27+0</f>
        <v>529.27</v>
      </c>
      <c r="C33" s="11">
        <f t="shared" ref="C33:G33" si="22">529.27+0</f>
        <v>529.27</v>
      </c>
      <c r="D33" s="11">
        <f t="shared" si="22"/>
        <v>529.27</v>
      </c>
      <c r="E33" s="11">
        <f t="shared" si="22"/>
        <v>529.27</v>
      </c>
      <c r="F33" s="11">
        <f t="shared" si="22"/>
        <v>529.27</v>
      </c>
      <c r="G33" s="11">
        <f t="shared" si="22"/>
        <v>529.27</v>
      </c>
      <c r="H33" s="11">
        <f>584.11+0</f>
        <v>584.11</v>
      </c>
      <c r="I33" s="11">
        <f t="shared" ref="I33:M33" si="23">584.11+0</f>
        <v>584.11</v>
      </c>
      <c r="J33" s="11">
        <f t="shared" si="23"/>
        <v>584.11</v>
      </c>
      <c r="K33" s="11">
        <f t="shared" si="23"/>
        <v>584.11</v>
      </c>
      <c r="L33" s="11">
        <f t="shared" si="23"/>
        <v>584.11</v>
      </c>
      <c r="M33" s="11">
        <f t="shared" si="23"/>
        <v>584.11</v>
      </c>
      <c r="N33" s="11">
        <f t="shared" si="17"/>
        <v>6680.2799999999988</v>
      </c>
    </row>
    <row r="34" spans="1:14" ht="22.5" customHeight="1" thickBot="1" x14ac:dyDescent="0.3">
      <c r="A34" s="4" t="s">
        <v>6</v>
      </c>
      <c r="B34" s="19">
        <f t="shared" ref="B34:G34" si="24">2962*3.22</f>
        <v>9537.6400000000012</v>
      </c>
      <c r="C34" s="19">
        <f t="shared" si="24"/>
        <v>9537.6400000000012</v>
      </c>
      <c r="D34" s="19">
        <f t="shared" si="24"/>
        <v>9537.6400000000012</v>
      </c>
      <c r="E34" s="19">
        <f t="shared" si="24"/>
        <v>9537.6400000000012</v>
      </c>
      <c r="F34" s="19">
        <f t="shared" si="24"/>
        <v>9537.6400000000012</v>
      </c>
      <c r="G34" s="19">
        <f t="shared" si="24"/>
        <v>9537.6400000000012</v>
      </c>
      <c r="H34" s="19">
        <f>2962*4.05</f>
        <v>11996.1</v>
      </c>
      <c r="I34" s="19">
        <f t="shared" ref="I34:M34" si="25">2962*4.05</f>
        <v>11996.1</v>
      </c>
      <c r="J34" s="19">
        <f t="shared" si="25"/>
        <v>11996.1</v>
      </c>
      <c r="K34" s="19">
        <f t="shared" si="25"/>
        <v>11996.1</v>
      </c>
      <c r="L34" s="19">
        <f t="shared" si="25"/>
        <v>11996.1</v>
      </c>
      <c r="M34" s="19">
        <f t="shared" si="25"/>
        <v>11996.1</v>
      </c>
      <c r="N34" s="11">
        <f t="shared" si="17"/>
        <v>129202.44000000003</v>
      </c>
    </row>
    <row r="35" spans="1:14" ht="22.5" customHeight="1" thickBot="1" x14ac:dyDescent="0.3">
      <c r="A35" s="4" t="s">
        <v>29</v>
      </c>
      <c r="B35" s="11">
        <v>3742.06</v>
      </c>
      <c r="C35" s="11">
        <v>3747.52</v>
      </c>
      <c r="D35" s="11">
        <v>4402.3500000000004</v>
      </c>
      <c r="E35" s="11">
        <v>3769.66</v>
      </c>
      <c r="F35" s="11">
        <v>4071.65</v>
      </c>
      <c r="G35" s="11">
        <v>4695.01</v>
      </c>
      <c r="H35" s="11">
        <v>3316.9</v>
      </c>
      <c r="I35" s="11">
        <v>3658.09</v>
      </c>
      <c r="J35" s="11">
        <v>4042.65</v>
      </c>
      <c r="K35" s="11">
        <v>4783.3900000000003</v>
      </c>
      <c r="L35" s="11">
        <v>4605.79</v>
      </c>
      <c r="M35" s="11">
        <v>6104.66</v>
      </c>
      <c r="N35" s="11">
        <f t="shared" si="17"/>
        <v>50939.729999999996</v>
      </c>
    </row>
    <row r="36" spans="1:14" ht="22.5" customHeight="1" thickBot="1" x14ac:dyDescent="0.3">
      <c r="A36" s="4" t="s">
        <v>30</v>
      </c>
      <c r="B36" s="11">
        <v>559</v>
      </c>
      <c r="C36" s="11">
        <v>560</v>
      </c>
      <c r="D36" s="11">
        <v>658</v>
      </c>
      <c r="E36" s="11">
        <v>563</v>
      </c>
      <c r="F36" s="11">
        <v>608</v>
      </c>
      <c r="G36" s="11">
        <v>701</v>
      </c>
      <c r="H36" s="11">
        <v>496</v>
      </c>
      <c r="I36" s="11">
        <v>547</v>
      </c>
      <c r="J36" s="11">
        <v>604</v>
      </c>
      <c r="K36" s="11">
        <v>715</v>
      </c>
      <c r="L36" s="11">
        <v>688</v>
      </c>
      <c r="M36" s="11">
        <v>912</v>
      </c>
      <c r="N36" s="11">
        <f t="shared" si="17"/>
        <v>7611</v>
      </c>
    </row>
    <row r="37" spans="1:14" ht="22.5" customHeight="1" thickBot="1" x14ac:dyDescent="0.3">
      <c r="A37" s="4" t="s">
        <v>25</v>
      </c>
      <c r="B37" s="11">
        <v>1000</v>
      </c>
      <c r="C37" s="11">
        <v>1000</v>
      </c>
      <c r="D37" s="11">
        <v>1000</v>
      </c>
      <c r="E37" s="11">
        <v>1000</v>
      </c>
      <c r="F37" s="11">
        <v>1000</v>
      </c>
      <c r="G37" s="11">
        <v>1000</v>
      </c>
      <c r="H37" s="11">
        <v>1000</v>
      </c>
      <c r="I37" s="11">
        <v>1000</v>
      </c>
      <c r="J37" s="11">
        <v>1000</v>
      </c>
      <c r="K37" s="11">
        <v>1000</v>
      </c>
      <c r="L37" s="11">
        <v>1000</v>
      </c>
      <c r="M37" s="11">
        <v>1000</v>
      </c>
      <c r="N37" s="11">
        <f t="shared" si="17"/>
        <v>12000</v>
      </c>
    </row>
    <row r="38" spans="1:14" ht="24" customHeight="1" thickBot="1" x14ac:dyDescent="0.3">
      <c r="A38" s="4" t="s">
        <v>10</v>
      </c>
      <c r="B38" s="11">
        <f>105</f>
        <v>105</v>
      </c>
      <c r="C38" s="11">
        <f>105</f>
        <v>105</v>
      </c>
      <c r="D38" s="11">
        <v>0</v>
      </c>
      <c r="E38" s="11">
        <f>1388.1+375</f>
        <v>1763.1</v>
      </c>
      <c r="F38" s="11">
        <f>3515.4+1171.8+14965.4+4871.8+600</f>
        <v>25124.399999999998</v>
      </c>
      <c r="G38" s="11">
        <v>0</v>
      </c>
      <c r="H38" s="11">
        <f>8325.1</f>
        <v>8325.1</v>
      </c>
      <c r="I38" s="11">
        <f>9929.5+7026.4+2979.5</f>
        <v>19935.400000000001</v>
      </c>
      <c r="J38" s="11">
        <f>22500+1178.9+13130.6+22529.2+3515.4+350</f>
        <v>63204.1</v>
      </c>
      <c r="K38" s="11">
        <f>2301.5+726+2571.8+5121.6+3254+11517.2</f>
        <v>25492.100000000002</v>
      </c>
      <c r="L38" s="11">
        <f>12000+2746.8</f>
        <v>14746.8</v>
      </c>
      <c r="M38" s="11">
        <f>4000+4140.5+3671.8+145+580+57053.7+169146.71+29176.7+1414.8</f>
        <v>269329.20999999996</v>
      </c>
      <c r="N38" s="11">
        <f t="shared" si="17"/>
        <v>428130.20999999996</v>
      </c>
    </row>
    <row r="39" spans="1:14" ht="22.5" customHeight="1" thickBot="1" x14ac:dyDescent="0.3">
      <c r="A39" s="9" t="s">
        <v>22</v>
      </c>
      <c r="B39" s="10">
        <f t="shared" ref="B39:M39" si="26">SUM(B25:B38)</f>
        <v>57657.42001999999</v>
      </c>
      <c r="C39" s="10">
        <f t="shared" si="26"/>
        <v>58314.921239999989</v>
      </c>
      <c r="D39" s="10">
        <f t="shared" si="26"/>
        <v>58369.796739999991</v>
      </c>
      <c r="E39" s="10">
        <f t="shared" si="26"/>
        <v>59609.774939999996</v>
      </c>
      <c r="F39" s="10">
        <f t="shared" si="26"/>
        <v>83430.553239999994</v>
      </c>
      <c r="G39" s="10">
        <f t="shared" si="26"/>
        <v>58563.849539999996</v>
      </c>
      <c r="H39" s="10">
        <f t="shared" si="26"/>
        <v>81823.456160000002</v>
      </c>
      <c r="I39" s="10">
        <f t="shared" si="26"/>
        <v>84112.789099999995</v>
      </c>
      <c r="J39" s="10">
        <f t="shared" si="26"/>
        <v>155432.86961999998</v>
      </c>
      <c r="K39" s="10">
        <f t="shared" si="26"/>
        <v>89193.126740000007</v>
      </c>
      <c r="L39" s="10">
        <f t="shared" si="26"/>
        <v>78640.769639999999</v>
      </c>
      <c r="M39" s="10">
        <f t="shared" si="26"/>
        <v>333543.83095999993</v>
      </c>
      <c r="N39" s="10">
        <f>SUM(B39:M39)</f>
        <v>1198693.1579399998</v>
      </c>
    </row>
    <row r="40" spans="1:14" ht="23.25" customHeight="1" thickBot="1" x14ac:dyDescent="0.3">
      <c r="A40" s="4" t="s">
        <v>5</v>
      </c>
      <c r="B40" s="18">
        <f t="shared" ref="B40:N40" si="27">B16-B39</f>
        <v>6504.6299800000124</v>
      </c>
      <c r="C40" s="18">
        <f t="shared" si="27"/>
        <v>17408.378760000014</v>
      </c>
      <c r="D40" s="18">
        <f t="shared" si="27"/>
        <v>-2411.6467399999965</v>
      </c>
      <c r="E40" s="18">
        <f t="shared" si="27"/>
        <v>4287.3150600000008</v>
      </c>
      <c r="F40" s="18">
        <f t="shared" si="27"/>
        <v>-16875.64323999999</v>
      </c>
      <c r="G40" s="18">
        <f t="shared" si="27"/>
        <v>-7297.7295400000003</v>
      </c>
      <c r="H40" s="18">
        <f t="shared" si="27"/>
        <v>-24863.87616</v>
      </c>
      <c r="I40" s="18">
        <f t="shared" si="27"/>
        <v>-10655.079100000003</v>
      </c>
      <c r="J40" s="18">
        <f t="shared" si="27"/>
        <v>-58788.179619999966</v>
      </c>
      <c r="K40" s="18">
        <f t="shared" si="27"/>
        <v>-1969.0267400000012</v>
      </c>
      <c r="L40" s="18">
        <f t="shared" si="27"/>
        <v>47702.03035999999</v>
      </c>
      <c r="M40" s="18">
        <f t="shared" si="27"/>
        <v>-253937.51095999993</v>
      </c>
      <c r="N40" s="11">
        <f t="shared" si="27"/>
        <v>-300896.33793999988</v>
      </c>
    </row>
    <row r="41" spans="1:14" ht="23.25" customHeight="1" thickBot="1" x14ac:dyDescent="0.3">
      <c r="A41" s="4" t="s">
        <v>7</v>
      </c>
      <c r="B41" s="14">
        <f t="shared" ref="B41:N41" si="28">B6+B40</f>
        <v>-720156.86002000002</v>
      </c>
      <c r="C41" s="14">
        <f t="shared" si="28"/>
        <v>-702748.48126000003</v>
      </c>
      <c r="D41" s="14">
        <f t="shared" si="28"/>
        <v>-705160.12800000003</v>
      </c>
      <c r="E41" s="14">
        <f t="shared" si="28"/>
        <v>-700872.81293999997</v>
      </c>
      <c r="F41" s="14">
        <f t="shared" si="28"/>
        <v>-717748.45617999998</v>
      </c>
      <c r="G41" s="14">
        <f t="shared" si="28"/>
        <v>-725046.18571999995</v>
      </c>
      <c r="H41" s="14">
        <f t="shared" si="28"/>
        <v>-749910.06187999994</v>
      </c>
      <c r="I41" s="14">
        <f t="shared" si="28"/>
        <v>-760565.14097999991</v>
      </c>
      <c r="J41" s="14">
        <f t="shared" si="28"/>
        <v>-819353.32059999986</v>
      </c>
      <c r="K41" s="14">
        <f t="shared" si="28"/>
        <v>-821322.34733999986</v>
      </c>
      <c r="L41" s="14">
        <f t="shared" si="28"/>
        <v>-773620.31697999989</v>
      </c>
      <c r="M41" s="14">
        <f t="shared" si="28"/>
        <v>-1027557.8279399998</v>
      </c>
      <c r="N41" s="14">
        <f t="shared" si="28"/>
        <v>-1027557.8279399999</v>
      </c>
    </row>
    <row r="42" spans="1:14" ht="27" customHeight="1" thickBot="1" x14ac:dyDescent="0.3">
      <c r="A42" s="5" t="s">
        <v>11</v>
      </c>
      <c r="B42" s="17">
        <f t="shared" ref="B42:H42" si="29">B7+B16-B8</f>
        <v>-689594.46</v>
      </c>
      <c r="C42" s="17">
        <f t="shared" si="29"/>
        <v>-686122.39999999991</v>
      </c>
      <c r="D42" s="17">
        <f t="shared" si="29"/>
        <v>-702415.48999999987</v>
      </c>
      <c r="E42" s="17">
        <f t="shared" si="29"/>
        <v>-710769.6399999999</v>
      </c>
      <c r="F42" s="17">
        <f t="shared" si="29"/>
        <v>-716433.41999999993</v>
      </c>
      <c r="G42" s="17">
        <f t="shared" si="29"/>
        <v>-737385.99</v>
      </c>
      <c r="H42" s="17">
        <f t="shared" si="29"/>
        <v>-768983.67</v>
      </c>
      <c r="I42" s="17">
        <f t="shared" ref="I42:N42" si="30">I7+I16-I8</f>
        <v>-797306.26000000013</v>
      </c>
      <c r="J42" s="17">
        <f t="shared" si="30"/>
        <v>-791889.99000000011</v>
      </c>
      <c r="K42" s="17">
        <f t="shared" si="30"/>
        <v>-822924.88000000012</v>
      </c>
      <c r="L42" s="17">
        <f t="shared" si="30"/>
        <v>-784994.22000000009</v>
      </c>
      <c r="M42" s="17">
        <f t="shared" si="30"/>
        <v>-793795.26000000013</v>
      </c>
      <c r="N42" s="17">
        <f t="shared" si="30"/>
        <v>-793795.26000000013</v>
      </c>
    </row>
    <row r="43" spans="1:14" ht="19.5" hidden="1" customHeight="1" thickBot="1" x14ac:dyDescent="0.35">
      <c r="A43" s="26" t="s">
        <v>28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8"/>
      <c r="N43" s="21"/>
    </row>
    <row r="44" spans="1:14" ht="18" hidden="1" customHeight="1" thickBot="1" x14ac:dyDescent="0.35">
      <c r="A44" s="29" t="s">
        <v>11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20">
        <f>N42+N43</f>
        <v>-793795.26000000013</v>
      </c>
    </row>
  </sheetData>
  <mergeCells count="4">
    <mergeCell ref="A1:N1"/>
    <mergeCell ref="A2:P2"/>
    <mergeCell ref="A43:M43"/>
    <mergeCell ref="A44:M44"/>
  </mergeCells>
  <phoneticPr fontId="4" type="noConversion"/>
  <pageMargins left="0.19685039370078741" right="0.19685039370078741" top="0.19685039370078741" bottom="0.19685039370078741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2026-02-16T08:38:49Z</cp:lastPrinted>
  <dcterms:created xsi:type="dcterms:W3CDTF">2011-06-06T03:25:48Z</dcterms:created>
  <dcterms:modified xsi:type="dcterms:W3CDTF">2026-02-16T08:47:13Z</dcterms:modified>
</cp:coreProperties>
</file>