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M37" i="1" l="1"/>
  <c r="L37" i="1" l="1"/>
  <c r="K37" i="1" l="1"/>
  <c r="K32" i="1" l="1"/>
  <c r="L32" i="1"/>
  <c r="M32" i="1"/>
  <c r="M29" i="1"/>
  <c r="K29" i="1"/>
  <c r="M27" i="1" l="1"/>
  <c r="M16" i="1"/>
  <c r="M26" i="1"/>
  <c r="M8" i="1"/>
  <c r="L27" i="1" l="1"/>
  <c r="L16" i="1"/>
  <c r="L26" i="1"/>
  <c r="L8" i="1"/>
  <c r="K27" i="1" l="1"/>
  <c r="K16" i="1"/>
  <c r="K26" i="1"/>
  <c r="K8" i="1"/>
  <c r="K33" i="1" l="1"/>
  <c r="L33" i="1"/>
  <c r="M33" i="1"/>
  <c r="K28" i="1"/>
  <c r="L28" i="1"/>
  <c r="M28" i="1"/>
  <c r="K25" i="1"/>
  <c r="L25" i="1"/>
  <c r="M25" i="1"/>
  <c r="K24" i="1"/>
  <c r="L24" i="1"/>
  <c r="M24" i="1"/>
  <c r="H22" i="1" l="1"/>
  <c r="I22" i="1"/>
  <c r="H14" i="1"/>
  <c r="I14" i="1"/>
  <c r="J14" i="1"/>
  <c r="C22" i="1" l="1"/>
  <c r="D22" i="1"/>
  <c r="E22" i="1"/>
  <c r="F22" i="1"/>
  <c r="G22" i="1"/>
  <c r="B22" i="1"/>
  <c r="C14" i="1"/>
  <c r="D14" i="1"/>
  <c r="E14" i="1"/>
  <c r="F14" i="1"/>
  <c r="G14" i="1"/>
  <c r="B14" i="1"/>
  <c r="I32" i="1" l="1"/>
  <c r="J32" i="1"/>
  <c r="H32" i="1"/>
  <c r="J37" i="1" l="1"/>
  <c r="I37" i="1" l="1"/>
  <c r="J27" i="1" l="1"/>
  <c r="J16" i="1"/>
  <c r="J26" i="1"/>
  <c r="J8" i="1"/>
  <c r="I27" i="1" l="1"/>
  <c r="I16" i="1"/>
  <c r="I26" i="1"/>
  <c r="I8" i="1"/>
  <c r="H37" i="1" l="1"/>
  <c r="H27" i="1" l="1"/>
  <c r="H16" i="1"/>
  <c r="H26" i="1"/>
  <c r="H8" i="1"/>
  <c r="H33" i="1"/>
  <c r="I33" i="1"/>
  <c r="J33" i="1"/>
  <c r="H28" i="1"/>
  <c r="I28" i="1"/>
  <c r="J28" i="1"/>
  <c r="H25" i="1"/>
  <c r="I25" i="1"/>
  <c r="J25" i="1"/>
  <c r="H24" i="1"/>
  <c r="I24" i="1"/>
  <c r="J24" i="1"/>
  <c r="G37" i="1" l="1"/>
  <c r="G32" i="1" l="1"/>
  <c r="F32" i="1"/>
  <c r="E32" i="1"/>
  <c r="F29" i="1"/>
  <c r="F37" i="1" l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G33" i="1" l="1"/>
  <c r="E33" i="1" l="1"/>
  <c r="F33" i="1"/>
  <c r="E28" i="1"/>
  <c r="F28" i="1"/>
  <c r="G28" i="1"/>
  <c r="E25" i="1"/>
  <c r="F25" i="1"/>
  <c r="G25" i="1"/>
  <c r="E24" i="1"/>
  <c r="F24" i="1"/>
  <c r="G24" i="1"/>
  <c r="C32" i="1" l="1"/>
  <c r="D32" i="1"/>
  <c r="B32" i="1"/>
  <c r="D37" i="1" l="1"/>
  <c r="B37" i="1" l="1"/>
  <c r="C37" i="1" l="1"/>
  <c r="C28" i="1" l="1"/>
  <c r="D28" i="1"/>
  <c r="B28" i="1"/>
  <c r="D26" i="1"/>
  <c r="C26" i="1"/>
  <c r="D25" i="1"/>
  <c r="C25" i="1"/>
  <c r="D27" i="1" l="1"/>
  <c r="D16" i="1"/>
  <c r="D8" i="1"/>
  <c r="N41" i="1"/>
  <c r="C27" i="1" l="1"/>
  <c r="C16" i="1"/>
  <c r="C8" i="1"/>
  <c r="B27" i="1" l="1"/>
  <c r="B16" i="1"/>
  <c r="B26" i="1"/>
  <c r="B8" i="1"/>
  <c r="C33" i="1" l="1"/>
  <c r="D33" i="1"/>
  <c r="C24" i="1"/>
  <c r="D24" i="1"/>
  <c r="B33" i="1"/>
  <c r="B25" i="1"/>
  <c r="B24" i="1"/>
  <c r="N35" i="1" l="1"/>
  <c r="N34" i="1" l="1"/>
  <c r="N25" i="1" l="1"/>
  <c r="N26" i="1"/>
  <c r="N27" i="1"/>
  <c r="N28" i="1"/>
  <c r="N29" i="1"/>
  <c r="N30" i="1"/>
  <c r="N31" i="1"/>
  <c r="N32" i="1"/>
  <c r="N33" i="1"/>
  <c r="N36" i="1"/>
  <c r="N37" i="1"/>
  <c r="N24" i="1"/>
  <c r="N6" i="1" l="1"/>
  <c r="N5" i="1"/>
  <c r="N8" i="1" l="1"/>
  <c r="N14" i="1"/>
  <c r="N13" i="1"/>
  <c r="N12" i="1"/>
  <c r="N11" i="1"/>
  <c r="N10" i="1"/>
  <c r="N9" i="1"/>
  <c r="N17" i="1" l="1"/>
  <c r="N18" i="1"/>
  <c r="N19" i="1"/>
  <c r="N20" i="1"/>
  <c r="N21" i="1"/>
  <c r="N22" i="1"/>
  <c r="N16" i="1"/>
  <c r="K15" i="1"/>
  <c r="L15" i="1"/>
  <c r="M15" i="1"/>
  <c r="K7" i="1"/>
  <c r="L7" i="1"/>
  <c r="M7" i="1"/>
  <c r="M38" i="1" l="1"/>
  <c r="M39" i="1" s="1"/>
  <c r="K38" i="1"/>
  <c r="L38" i="1" l="1"/>
  <c r="L39" i="1" s="1"/>
  <c r="K39" i="1"/>
  <c r="J7" i="1"/>
  <c r="H15" i="1"/>
  <c r="J15" i="1"/>
  <c r="I7" i="1"/>
  <c r="J38" i="1" l="1"/>
  <c r="J39" i="1" s="1"/>
  <c r="I15" i="1"/>
  <c r="H7" i="1"/>
  <c r="H38" i="1" l="1"/>
  <c r="H39" i="1" s="1"/>
  <c r="I38" i="1"/>
  <c r="E15" i="1"/>
  <c r="F15" i="1"/>
  <c r="G15" i="1"/>
  <c r="E7" i="1"/>
  <c r="F7" i="1"/>
  <c r="G7" i="1"/>
  <c r="D15" i="1"/>
  <c r="D38" i="1" s="1"/>
  <c r="D39" i="1" s="1"/>
  <c r="D7" i="1"/>
  <c r="C15" i="1"/>
  <c r="C38" i="1" s="1"/>
  <c r="C7" i="1"/>
  <c r="B15" i="1"/>
  <c r="B38" i="1" s="1"/>
  <c r="B7" i="1"/>
  <c r="G38" i="1" l="1"/>
  <c r="G39" i="1" s="1"/>
  <c r="N7" i="1"/>
  <c r="E38" i="1"/>
  <c r="E39" i="1" s="1"/>
  <c r="N15" i="1"/>
  <c r="I39" i="1"/>
  <c r="F38" i="1"/>
  <c r="F39" i="1" s="1"/>
  <c r="B42" i="1"/>
  <c r="C6" i="1" s="1"/>
  <c r="C42" i="1" s="1"/>
  <c r="N42" i="1" l="1"/>
  <c r="N38" i="1"/>
  <c r="C39" i="1"/>
  <c r="D6" i="1"/>
  <c r="D42" i="1" s="1"/>
  <c r="N39" i="1" l="1"/>
  <c r="N40" i="1" s="1"/>
  <c r="E6" i="1"/>
  <c r="E42" i="1" s="1"/>
  <c r="B39" i="1"/>
  <c r="B40" i="1" s="1"/>
  <c r="C5" i="1" s="1"/>
  <c r="C40" i="1" s="1"/>
  <c r="F6" i="1" l="1"/>
  <c r="F42" i="1" s="1"/>
  <c r="D5" i="1"/>
  <c r="D40" i="1" s="1"/>
  <c r="G6" i="1" l="1"/>
  <c r="G42" i="1" s="1"/>
  <c r="E5" i="1"/>
  <c r="H6" i="1" l="1"/>
  <c r="H42" i="1" s="1"/>
  <c r="E40" i="1"/>
  <c r="F5" i="1" s="1"/>
  <c r="F40" i="1" s="1"/>
  <c r="G5" i="1" s="1"/>
  <c r="G40" i="1" s="1"/>
  <c r="I6" i="1" l="1"/>
  <c r="I42" i="1" s="1"/>
  <c r="H5" i="1"/>
  <c r="H40" i="1" s="1"/>
  <c r="J6" i="1" l="1"/>
  <c r="I5" i="1"/>
  <c r="I40" i="1" s="1"/>
  <c r="J42" i="1" l="1"/>
  <c r="K6" i="1" s="1"/>
  <c r="J5" i="1"/>
  <c r="J40" i="1" s="1"/>
  <c r="K42" i="1" l="1"/>
  <c r="L6" i="1" s="1"/>
  <c r="L42" i="1" s="1"/>
  <c r="M6" i="1" s="1"/>
  <c r="M42" i="1" s="1"/>
  <c r="K5" i="1"/>
  <c r="K40" i="1" s="1"/>
  <c r="L5" i="1" l="1"/>
  <c r="L40" i="1" s="1"/>
  <c r="M5" i="1" l="1"/>
  <c r="M40" i="1" s="1"/>
</calcChain>
</file>

<file path=xl/sharedStrings.xml><?xml version="1.0" encoding="utf-8"?>
<sst xmlns="http://schemas.openxmlformats.org/spreadsheetml/2006/main" count="54" uniqueCount="46">
  <si>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</si>
  <si>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</si>
  <si>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</si>
  <si>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</si>
  <si>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</si>
  <si>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</si>
  <si>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</si>
  <si>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</si>
  <si>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</si>
  <si>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</si>
  <si>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</si>
  <si>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</si>
  <si>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</si>
  <si>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</si>
  <si>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</si>
  <si>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</si>
  <si>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</si>
  <si>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</si>
  <si>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</si>
  <si>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</si>
  <si>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</si>
  <si>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</si>
  <si>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</si>
  <si>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</si>
  <si>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</si>
  <si>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Содержание жилья и текущий ремонт,  ОПУ</t>
  </si>
  <si>
    <t xml:space="preserve">Содержание жилья и текущий ремонт,  ОПУ </t>
  </si>
  <si>
    <t>Тех.обслуживание ОДПУ</t>
  </si>
  <si>
    <t>Вознаграждение совета МКД</t>
  </si>
  <si>
    <t>Налоги с вознаграждения совета МКД</t>
  </si>
  <si>
    <t>Январь 2025г.</t>
  </si>
  <si>
    <t>Февраль 2025г.</t>
  </si>
  <si>
    <t>Март 2025г.</t>
  </si>
  <si>
    <t>Апрель 2025г.</t>
  </si>
  <si>
    <t>Май 2025г.</t>
  </si>
  <si>
    <t>Июнь 2025г</t>
  </si>
  <si>
    <t>Июль 2025г.</t>
  </si>
  <si>
    <t>Август 2025г.</t>
  </si>
  <si>
    <t>Сентябрь 2025г.</t>
  </si>
  <si>
    <t>Октябрь 2025г</t>
  </si>
  <si>
    <t>Ноябрь 2025г</t>
  </si>
  <si>
    <t>Декабрь 2025г</t>
  </si>
  <si>
    <t>Всего:                       за  2025г</t>
  </si>
  <si>
    <t xml:space="preserve">Корректировка задолженности </t>
  </si>
  <si>
    <t>2474,,49</t>
  </si>
  <si>
    <t xml:space="preserve">                 ОТЧЕТ по дому Матросова, 29 за период 01.01.2025г. по 31.12.2025г.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</si>
</sst>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topLeftCell="A22" zoomScale="75" workbookViewId="0">
      <selection activeCell="A22" sqref="A1:H1048576"/>
    </sheetView>
  </sheetViews>
  <sheetFormatPr defaultRowHeight="13.2" x14ac:dyDescent="0.25"/>
  <cols>
    <col min="1" max="1" width="58.6640625" customWidth="1"/>
    <col min="2" max="2" width="14.33203125" customWidth="1"/>
    <col min="3" max="3" width="14.6640625" customWidth="1"/>
    <col min="4" max="5" width="13.44140625" customWidth="1"/>
    <col min="6" max="6" width="14.5546875" customWidth="1"/>
    <col min="7" max="7" width="14.109375" customWidth="1"/>
    <col min="8" max="8" width="13.88671875" customWidth="1"/>
    <col min="9" max="9" width="15.33203125" customWidth="1"/>
    <col min="10" max="13" width="14.5546875" customWidth="1"/>
    <col min="14" max="14" width="16.109375" customWidth="1"/>
    <col min="23" max="23" width="0" hidden="1" customWidth="1"/>
  </cols>
  <sheetData>
    <row r="1" spans="1:18" ht="20.25" customHeight="1" x14ac:dyDescent="0.35">
      <c r="A1" s="21" t="s">
        <v>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</row>
    <row r="5" spans="1:18" ht="23.25" customHeight="1" thickBot="1" x14ac:dyDescent="0.3">
      <c r="A5" s="7" t="s">
        <v>15</v>
      </c>
      <c r="B5" s="8">
        <v>183956.16</v>
      </c>
      <c r="C5" s="8">
        <f t="shared" ref="C5:D5" si="0">B40</f>
        <v>172370.87286</v>
      </c>
      <c r="D5" s="8">
        <f t="shared" si="0"/>
        <v>172227.88928</v>
      </c>
      <c r="E5" s="8">
        <f t="shared" ref="E5" si="1">D40</f>
        <v>165013.1502</v>
      </c>
      <c r="F5" s="8">
        <f t="shared" ref="F5" si="2">E40</f>
        <v>187755.30322</v>
      </c>
      <c r="G5" s="8">
        <f t="shared" ref="G5" si="3">F40</f>
        <v>184395.62763999999</v>
      </c>
      <c r="H5" s="8">
        <f t="shared" ref="H5" si="4">G40</f>
        <v>133662.78087999998</v>
      </c>
      <c r="I5" s="8">
        <f t="shared" ref="I5" si="5">H40</f>
        <v>136021.94717999999</v>
      </c>
      <c r="J5" s="8">
        <f t="shared" ref="J5" si="6">I40</f>
        <v>145669.56311999998</v>
      </c>
      <c r="K5" s="8">
        <f t="shared" ref="K5" si="7">J40</f>
        <v>140443.06455999997</v>
      </c>
      <c r="L5" s="8">
        <f t="shared" ref="L5" si="8">K40</f>
        <v>139257.04465999996</v>
      </c>
      <c r="M5" s="8">
        <f t="shared" ref="M5" si="9">L40</f>
        <v>147460.16753999997</v>
      </c>
      <c r="N5" s="8">
        <f>B5</f>
        <v>183956.16</v>
      </c>
    </row>
    <row r="6" spans="1:18" ht="21" customHeight="1" thickBot="1" x14ac:dyDescent="0.3">
      <c r="A6" s="7" t="s">
        <v>13</v>
      </c>
      <c r="B6" s="8">
        <v>-74549.05</v>
      </c>
      <c r="C6" s="8">
        <f t="shared" ref="C6:M6" si="10">B42</f>
        <v>-78139.16</v>
      </c>
      <c r="D6" s="8">
        <f t="shared" si="10"/>
        <v>-82703.87</v>
      </c>
      <c r="E6" s="8">
        <f t="shared" si="10"/>
        <v>-81008.92</v>
      </c>
      <c r="F6" s="8">
        <f t="shared" si="10"/>
        <v>-66081.849999999991</v>
      </c>
      <c r="G6" s="8">
        <f t="shared" si="10"/>
        <v>-69362.159999999989</v>
      </c>
      <c r="H6" s="8">
        <f t="shared" si="10"/>
        <v>-64887.319999999992</v>
      </c>
      <c r="I6" s="8">
        <f t="shared" si="10"/>
        <v>-68749.03</v>
      </c>
      <c r="J6" s="8">
        <f t="shared" si="10"/>
        <v>-71250.960000000006</v>
      </c>
      <c r="K6" s="8">
        <f t="shared" si="10"/>
        <v>-65989.740000000005</v>
      </c>
      <c r="L6" s="8">
        <f t="shared" si="10"/>
        <v>-71175.550000000017</v>
      </c>
      <c r="M6" s="8">
        <f t="shared" si="10"/>
        <v>-83160.890000000014</v>
      </c>
      <c r="N6" s="8">
        <f>B6</f>
        <v>-74549.05</v>
      </c>
    </row>
    <row r="7" spans="1:18" ht="20.25" customHeight="1" thickBot="1" x14ac:dyDescent="0.3">
      <c r="A7" s="9" t="s">
        <v>12</v>
      </c>
      <c r="B7" s="10">
        <f>SUM(B8:B14)</f>
        <v>36232.479999999996</v>
      </c>
      <c r="C7" s="10">
        <f>SUM(C8:C14)</f>
        <v>36232.479999999996</v>
      </c>
      <c r="D7" s="10">
        <f>SUM(D8:D14)</f>
        <v>36232.479999999996</v>
      </c>
      <c r="E7" s="10">
        <f t="shared" ref="E7:M7" si="11">SUM(E8:E14)</f>
        <v>36232.479999999996</v>
      </c>
      <c r="F7" s="10">
        <f t="shared" si="11"/>
        <v>36232.479999999996</v>
      </c>
      <c r="G7" s="10">
        <f t="shared" si="11"/>
        <v>46853.51</v>
      </c>
      <c r="H7" s="10">
        <f t="shared" si="11"/>
        <v>46580</v>
      </c>
      <c r="I7" s="10">
        <f t="shared" si="11"/>
        <v>46593.16</v>
      </c>
      <c r="J7" s="10">
        <f t="shared" si="11"/>
        <v>46593.16</v>
      </c>
      <c r="K7" s="10">
        <f t="shared" si="11"/>
        <v>49535.700000000004</v>
      </c>
      <c r="L7" s="10">
        <f t="shared" si="11"/>
        <v>56287.72</v>
      </c>
      <c r="M7" s="10">
        <f t="shared" si="11"/>
        <v>46393.16</v>
      </c>
      <c r="N7" s="10">
        <f>SUM(B7:M7)</f>
        <v>519998.81000000006</v>
      </c>
    </row>
    <row r="8" spans="1:18" ht="24.75" customHeight="1" thickBot="1" x14ac:dyDescent="0.3">
      <c r="A8" s="4" t="s">
        <v>25</v>
      </c>
      <c r="B8" s="11">
        <f>31051.62+1470.62</f>
        <v>32522.239999999998</v>
      </c>
      <c r="C8" s="11">
        <f>31051.62+1470.62</f>
        <v>32522.239999999998</v>
      </c>
      <c r="D8" s="11">
        <f>31051.62+1470.62</f>
        <v>32522.239999999998</v>
      </c>
      <c r="E8" s="11">
        <f>31051.62+1470.62</f>
        <v>32522.239999999998</v>
      </c>
      <c r="F8" s="11">
        <f>31051.62+1470.62</f>
        <v>32522.239999999998</v>
      </c>
      <c r="G8" s="11">
        <f t="shared" ref="G8:L8" si="12">41361.3+1470.62</f>
        <v>42831.920000000006</v>
      </c>
      <c r="H8" s="11">
        <f t="shared" si="12"/>
        <v>42831.920000000006</v>
      </c>
      <c r="I8" s="11">
        <f t="shared" si="12"/>
        <v>42831.920000000006</v>
      </c>
      <c r="J8" s="11">
        <f t="shared" si="12"/>
        <v>42831.920000000006</v>
      </c>
      <c r="K8" s="11">
        <f t="shared" si="12"/>
        <v>42831.920000000006</v>
      </c>
      <c r="L8" s="11">
        <f t="shared" si="12"/>
        <v>42831.920000000006</v>
      </c>
      <c r="M8" s="11">
        <f>41361.3+1470.62</f>
        <v>42831.920000000006</v>
      </c>
      <c r="N8" s="11">
        <f t="shared" ref="N8:N16" si="13">SUM(B8:M8)</f>
        <v>462434.63999999996</v>
      </c>
    </row>
    <row r="9" spans="1:18" ht="24.75" customHeight="1" thickBot="1" x14ac:dyDescent="0.3">
      <c r="A9" s="4" t="s">
        <v>16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78.67</v>
      </c>
      <c r="H9" s="11">
        <v>0</v>
      </c>
      <c r="I9" s="11">
        <v>0</v>
      </c>
      <c r="J9" s="11">
        <v>0</v>
      </c>
      <c r="K9" s="11">
        <v>0</v>
      </c>
      <c r="L9" s="11">
        <v>6789.63</v>
      </c>
      <c r="M9" s="11">
        <v>0</v>
      </c>
      <c r="N9" s="11">
        <f t="shared" si="13"/>
        <v>6868.3</v>
      </c>
    </row>
    <row r="10" spans="1:18" ht="24.75" customHeight="1" thickBot="1" x14ac:dyDescent="0.3">
      <c r="A10" s="4" t="s">
        <v>17</v>
      </c>
      <c r="B10" s="11">
        <v>125.94</v>
      </c>
      <c r="C10" s="11">
        <v>125.94</v>
      </c>
      <c r="D10" s="11">
        <v>125.94</v>
      </c>
      <c r="E10" s="11">
        <v>125.94</v>
      </c>
      <c r="F10" s="11">
        <v>125.94</v>
      </c>
      <c r="G10" s="11">
        <v>125.94</v>
      </c>
      <c r="H10" s="11">
        <v>163.78</v>
      </c>
      <c r="I10" s="11">
        <v>163.78</v>
      </c>
      <c r="J10" s="11">
        <v>163.78</v>
      </c>
      <c r="K10" s="11">
        <v>163.78</v>
      </c>
      <c r="L10" s="11">
        <v>163.78</v>
      </c>
      <c r="M10" s="11">
        <v>163.78</v>
      </c>
      <c r="N10" s="11">
        <f t="shared" si="13"/>
        <v>1738.32</v>
      </c>
    </row>
    <row r="11" spans="1:18" ht="24.75" customHeight="1" thickBot="1" x14ac:dyDescent="0.3">
      <c r="A11" s="4" t="s">
        <v>18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3142.54</v>
      </c>
      <c r="L11" s="11">
        <v>3104.93</v>
      </c>
      <c r="M11" s="11">
        <v>0</v>
      </c>
      <c r="N11" s="11">
        <f t="shared" si="13"/>
        <v>6247.4699999999993</v>
      </c>
    </row>
    <row r="12" spans="1:18" ht="24.75" customHeight="1" thickBot="1" x14ac:dyDescent="0.3">
      <c r="A12" s="4" t="s">
        <v>24</v>
      </c>
      <c r="B12" s="11">
        <v>127.1</v>
      </c>
      <c r="C12" s="11">
        <v>127.1</v>
      </c>
      <c r="D12" s="11">
        <v>127.1</v>
      </c>
      <c r="E12" s="11">
        <v>127.1</v>
      </c>
      <c r="F12" s="11">
        <v>127.1</v>
      </c>
      <c r="G12" s="11">
        <v>359.78</v>
      </c>
      <c r="H12" s="11">
        <v>127.1</v>
      </c>
      <c r="I12" s="11">
        <v>140.26</v>
      </c>
      <c r="J12" s="11">
        <v>140.26</v>
      </c>
      <c r="K12" s="11">
        <v>140.26</v>
      </c>
      <c r="L12" s="11">
        <v>140.26</v>
      </c>
      <c r="M12" s="11">
        <v>140.26</v>
      </c>
      <c r="N12" s="11">
        <f t="shared" si="13"/>
        <v>1823.6799999999998</v>
      </c>
    </row>
    <row r="13" spans="1:18" ht="24.75" customHeight="1" thickBot="1" x14ac:dyDescent="0.3">
      <c r="A13" s="4" t="s">
        <v>28</v>
      </c>
      <c r="B13" s="11">
        <v>3157.2</v>
      </c>
      <c r="C13" s="11">
        <v>3157.2</v>
      </c>
      <c r="D13" s="11">
        <v>3157.2</v>
      </c>
      <c r="E13" s="11">
        <v>3157.2</v>
      </c>
      <c r="F13" s="11">
        <v>3157.2</v>
      </c>
      <c r="G13" s="11">
        <v>3157.2</v>
      </c>
      <c r="H13" s="11">
        <v>3157.2</v>
      </c>
      <c r="I13" s="11">
        <v>3157.2</v>
      </c>
      <c r="J13" s="11">
        <v>3157.2</v>
      </c>
      <c r="K13" s="11">
        <v>3157.2</v>
      </c>
      <c r="L13" s="11">
        <v>3157.2</v>
      </c>
      <c r="M13" s="11">
        <v>3157.2</v>
      </c>
      <c r="N13" s="11">
        <f t="shared" si="13"/>
        <v>37886.400000000001</v>
      </c>
    </row>
    <row r="14" spans="1:18" ht="24.75" customHeight="1" thickBot="1" x14ac:dyDescent="0.3">
      <c r="A14" s="4" t="s">
        <v>14</v>
      </c>
      <c r="B14" s="11">
        <f>600-300</f>
        <v>300</v>
      </c>
      <c r="C14" s="11">
        <f t="shared" ref="C14:J14" si="14">600-300</f>
        <v>300</v>
      </c>
      <c r="D14" s="11">
        <f t="shared" si="14"/>
        <v>300</v>
      </c>
      <c r="E14" s="11">
        <f t="shared" si="14"/>
        <v>300</v>
      </c>
      <c r="F14" s="11">
        <f t="shared" si="14"/>
        <v>300</v>
      </c>
      <c r="G14" s="11">
        <f t="shared" si="14"/>
        <v>300</v>
      </c>
      <c r="H14" s="11">
        <f t="shared" si="14"/>
        <v>300</v>
      </c>
      <c r="I14" s="11">
        <f t="shared" si="14"/>
        <v>300</v>
      </c>
      <c r="J14" s="11">
        <f t="shared" si="14"/>
        <v>300</v>
      </c>
      <c r="K14" s="11">
        <v>100</v>
      </c>
      <c r="L14" s="11">
        <v>100</v>
      </c>
      <c r="M14" s="11">
        <v>100</v>
      </c>
      <c r="N14" s="11">
        <f t="shared" si="13"/>
        <v>3000</v>
      </c>
    </row>
    <row r="15" spans="1:18" ht="20.25" customHeight="1" thickBot="1" x14ac:dyDescent="0.3">
      <c r="A15" s="12" t="s">
        <v>8</v>
      </c>
      <c r="B15" s="13">
        <f>SUM(B16:B22)</f>
        <v>32642.370000000003</v>
      </c>
      <c r="C15" s="13">
        <f>SUM(C16:C22)</f>
        <v>31667.770000000004</v>
      </c>
      <c r="D15" s="13">
        <f>SUM(D16:D22)</f>
        <v>32542.619999999995</v>
      </c>
      <c r="E15" s="13">
        <f t="shared" ref="E15:M15" si="15">SUM(E16:E22)</f>
        <v>51159.55</v>
      </c>
      <c r="F15" s="13">
        <f t="shared" si="15"/>
        <v>32952.17</v>
      </c>
      <c r="G15" s="13">
        <f t="shared" si="15"/>
        <v>51328.35</v>
      </c>
      <c r="H15" s="13">
        <f t="shared" si="15"/>
        <v>42718.29</v>
      </c>
      <c r="I15" s="13">
        <f t="shared" si="15"/>
        <v>44091.229999999996</v>
      </c>
      <c r="J15" s="13">
        <f t="shared" si="15"/>
        <v>51854.380000000005</v>
      </c>
      <c r="K15" s="13">
        <f t="shared" si="15"/>
        <v>44349.89</v>
      </c>
      <c r="L15" s="13">
        <f t="shared" si="15"/>
        <v>44302.38</v>
      </c>
      <c r="M15" s="13">
        <f t="shared" si="15"/>
        <v>48319.3</v>
      </c>
      <c r="N15" s="13">
        <f>SUM(B15:M15)</f>
        <v>507928.3</v>
      </c>
    </row>
    <row r="16" spans="1:18" ht="24" customHeight="1" thickBot="1" x14ac:dyDescent="0.3">
      <c r="A16" s="4" t="s">
        <v>26</v>
      </c>
      <c r="B16" s="11">
        <f>28311.27+1311.13</f>
        <v>29622.400000000001</v>
      </c>
      <c r="C16" s="11">
        <f>26003.55+2306.29</f>
        <v>28309.84</v>
      </c>
      <c r="D16" s="11">
        <f>28143.3+1368.1</f>
        <v>29511.399999999998</v>
      </c>
      <c r="E16" s="11">
        <f>44205.01+2136.33</f>
        <v>46341.340000000004</v>
      </c>
      <c r="F16" s="11">
        <f>29010.27+1176.33</f>
        <v>30186.6</v>
      </c>
      <c r="G16" s="11">
        <f>44771.54+2038.43</f>
        <v>46809.97</v>
      </c>
      <c r="H16" s="11">
        <f>36839.38+2387.08</f>
        <v>39226.46</v>
      </c>
      <c r="I16" s="11">
        <f>39257.5+1416.84</f>
        <v>40674.339999999997</v>
      </c>
      <c r="J16" s="11">
        <f>44896.76+1659.86</f>
        <v>46556.62</v>
      </c>
      <c r="K16" s="11">
        <f>39391.83+1438.56</f>
        <v>40830.39</v>
      </c>
      <c r="L16" s="11">
        <f>37043.5+1314.98</f>
        <v>38358.480000000003</v>
      </c>
      <c r="M16" s="11">
        <f>40935.6+1278.81</f>
        <v>42214.409999999996</v>
      </c>
      <c r="N16" s="11">
        <f t="shared" si="13"/>
        <v>458642.24999999994</v>
      </c>
    </row>
    <row r="17" spans="1:15" ht="26.25" customHeight="1" thickBot="1" x14ac:dyDescent="0.3">
      <c r="A17" s="4" t="s">
        <v>16</v>
      </c>
      <c r="B17" s="11">
        <v>2.66</v>
      </c>
      <c r="C17" s="11">
        <v>15.24</v>
      </c>
      <c r="D17" s="11">
        <v>16.62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122.87</v>
      </c>
      <c r="N17" s="11">
        <f t="shared" ref="N17:N22" si="16">SUM(B17:M17)</f>
        <v>157.38999999999999</v>
      </c>
    </row>
    <row r="18" spans="1:15" ht="26.25" customHeight="1" thickBot="1" x14ac:dyDescent="0.3">
      <c r="A18" s="4" t="s">
        <v>17</v>
      </c>
      <c r="B18" s="11">
        <v>5.86</v>
      </c>
      <c r="C18" s="11">
        <v>11.25</v>
      </c>
      <c r="D18" s="11">
        <v>12.73</v>
      </c>
      <c r="E18" s="11">
        <v>7.71</v>
      </c>
      <c r="F18" s="11">
        <v>1.59</v>
      </c>
      <c r="G18" s="11">
        <v>78.569999999999993</v>
      </c>
      <c r="H18" s="11">
        <v>118.96</v>
      </c>
      <c r="I18" s="11">
        <v>144.74</v>
      </c>
      <c r="J18" s="11">
        <v>171.75</v>
      </c>
      <c r="K18" s="11">
        <v>157.35</v>
      </c>
      <c r="L18" s="11">
        <v>151.21</v>
      </c>
      <c r="M18" s="11">
        <v>167.94</v>
      </c>
      <c r="N18" s="11">
        <f t="shared" si="16"/>
        <v>1029.6600000000001</v>
      </c>
    </row>
    <row r="19" spans="1:15" ht="26.25" customHeight="1" thickBot="1" x14ac:dyDescent="0.3">
      <c r="A19" s="4" t="s">
        <v>18</v>
      </c>
      <c r="B19" s="11">
        <v>9.1199999999999992</v>
      </c>
      <c r="C19" s="11">
        <v>44.22</v>
      </c>
      <c r="D19" s="11">
        <v>45.46</v>
      </c>
      <c r="E19" s="11">
        <v>25.58</v>
      </c>
      <c r="F19" s="11">
        <v>13.94</v>
      </c>
      <c r="G19" s="11">
        <v>62.03</v>
      </c>
      <c r="H19" s="11">
        <v>33.67</v>
      </c>
      <c r="I19" s="11">
        <v>15.86</v>
      </c>
      <c r="J19" s="11">
        <v>14.76</v>
      </c>
      <c r="K19" s="11">
        <v>13.75</v>
      </c>
      <c r="L19" s="11">
        <v>2729.52</v>
      </c>
      <c r="M19" s="11">
        <v>2719.44</v>
      </c>
      <c r="N19" s="11">
        <f t="shared" si="16"/>
        <v>5727.35</v>
      </c>
    </row>
    <row r="20" spans="1:15" ht="26.25" customHeight="1" thickBot="1" x14ac:dyDescent="0.3">
      <c r="A20" s="4" t="s">
        <v>24</v>
      </c>
      <c r="B20" s="11">
        <v>2.72</v>
      </c>
      <c r="C20" s="11">
        <v>11.95</v>
      </c>
      <c r="D20" s="11">
        <v>11.92</v>
      </c>
      <c r="E20" s="11">
        <v>32.44</v>
      </c>
      <c r="F20" s="11">
        <v>22.77</v>
      </c>
      <c r="G20" s="11">
        <v>75.14</v>
      </c>
      <c r="H20" s="11">
        <v>186.9</v>
      </c>
      <c r="I20" s="11">
        <v>130.63999999999999</v>
      </c>
      <c r="J20" s="11">
        <v>147.1</v>
      </c>
      <c r="K20" s="11">
        <v>135.05000000000001</v>
      </c>
      <c r="L20" s="11">
        <v>130.68</v>
      </c>
      <c r="M20" s="11">
        <v>145.09</v>
      </c>
      <c r="N20" s="11">
        <f t="shared" si="16"/>
        <v>1032.4000000000001</v>
      </c>
    </row>
    <row r="21" spans="1:15" ht="26.25" customHeight="1" thickBot="1" x14ac:dyDescent="0.3">
      <c r="A21" s="4" t="s">
        <v>28</v>
      </c>
      <c r="B21" s="11">
        <v>2899.61</v>
      </c>
      <c r="C21" s="11">
        <v>3175.27</v>
      </c>
      <c r="D21" s="11">
        <v>2844.49</v>
      </c>
      <c r="E21" s="11">
        <v>4652.4799999999996</v>
      </c>
      <c r="F21" s="11">
        <v>2627.27</v>
      </c>
      <c r="G21" s="11">
        <v>4202.6400000000003</v>
      </c>
      <c r="H21" s="11">
        <v>3052.3</v>
      </c>
      <c r="I21" s="11">
        <v>3025.65</v>
      </c>
      <c r="J21" s="11">
        <v>3464.15</v>
      </c>
      <c r="K21" s="11">
        <v>3113.35</v>
      </c>
      <c r="L21" s="11">
        <v>2832.49</v>
      </c>
      <c r="M21" s="11">
        <v>2849.55</v>
      </c>
      <c r="N21" s="11">
        <f t="shared" si="16"/>
        <v>38739.25</v>
      </c>
    </row>
    <row r="22" spans="1:15" ht="26.25" customHeight="1" thickBot="1" x14ac:dyDescent="0.3">
      <c r="A22" s="4" t="s">
        <v>14</v>
      </c>
      <c r="B22" s="14">
        <f>400-300</f>
        <v>100</v>
      </c>
      <c r="C22" s="14">
        <f t="shared" ref="C22:I22" si="17">400-300</f>
        <v>100</v>
      </c>
      <c r="D22" s="14">
        <f t="shared" si="17"/>
        <v>100</v>
      </c>
      <c r="E22" s="14">
        <f t="shared" si="17"/>
        <v>100</v>
      </c>
      <c r="F22" s="14">
        <f t="shared" si="17"/>
        <v>100</v>
      </c>
      <c r="G22" s="14">
        <f t="shared" si="17"/>
        <v>100</v>
      </c>
      <c r="H22" s="14">
        <f t="shared" si="17"/>
        <v>100</v>
      </c>
      <c r="I22" s="14">
        <f t="shared" si="17"/>
        <v>100</v>
      </c>
      <c r="J22" s="14">
        <v>1500</v>
      </c>
      <c r="K22" s="11">
        <v>100</v>
      </c>
      <c r="L22" s="11">
        <v>100</v>
      </c>
      <c r="M22" s="11">
        <v>100</v>
      </c>
      <c r="N22" s="11">
        <f t="shared" si="16"/>
        <v>2600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 t="shared" ref="B24:M24" si="18">1531.9*0.6</f>
        <v>919.14</v>
      </c>
      <c r="C24" s="11">
        <f t="shared" si="18"/>
        <v>919.14</v>
      </c>
      <c r="D24" s="11">
        <f t="shared" si="18"/>
        <v>919.14</v>
      </c>
      <c r="E24" s="11">
        <f t="shared" si="18"/>
        <v>919.14</v>
      </c>
      <c r="F24" s="11">
        <f t="shared" si="18"/>
        <v>919.14</v>
      </c>
      <c r="G24" s="11">
        <f t="shared" si="18"/>
        <v>919.14</v>
      </c>
      <c r="H24" s="11">
        <f t="shared" si="18"/>
        <v>919.14</v>
      </c>
      <c r="I24" s="11">
        <f t="shared" si="18"/>
        <v>919.14</v>
      </c>
      <c r="J24" s="11">
        <f t="shared" si="18"/>
        <v>919.14</v>
      </c>
      <c r="K24" s="11">
        <f t="shared" si="18"/>
        <v>919.14</v>
      </c>
      <c r="L24" s="11">
        <f t="shared" si="18"/>
        <v>919.14</v>
      </c>
      <c r="M24" s="11">
        <f t="shared" si="18"/>
        <v>919.14</v>
      </c>
      <c r="N24" s="11">
        <f>SUM(B24:M24)</f>
        <v>11029.679999999998</v>
      </c>
    </row>
    <row r="25" spans="1:15" ht="22.5" customHeight="1" thickBot="1" x14ac:dyDescent="0.3">
      <c r="A25" s="4" t="s">
        <v>2</v>
      </c>
      <c r="B25" s="11">
        <f t="shared" ref="B25" si="19">1531.9*0.17</f>
        <v>260.42300000000006</v>
      </c>
      <c r="C25" s="11">
        <f>1531.9*0.2</f>
        <v>306.38000000000005</v>
      </c>
      <c r="D25" s="11">
        <f>1531.9*0.2</f>
        <v>306.38000000000005</v>
      </c>
      <c r="E25" s="11">
        <f t="shared" ref="E25:M25" si="20">1531.9*0.2</f>
        <v>306.38000000000005</v>
      </c>
      <c r="F25" s="11">
        <f t="shared" si="20"/>
        <v>306.38000000000005</v>
      </c>
      <c r="G25" s="11">
        <f t="shared" si="20"/>
        <v>306.38000000000005</v>
      </c>
      <c r="H25" s="11">
        <f t="shared" si="20"/>
        <v>306.38000000000005</v>
      </c>
      <c r="I25" s="11">
        <f t="shared" si="20"/>
        <v>306.38000000000005</v>
      </c>
      <c r="J25" s="11">
        <f t="shared" si="20"/>
        <v>306.38000000000005</v>
      </c>
      <c r="K25" s="11">
        <f t="shared" si="20"/>
        <v>306.38000000000005</v>
      </c>
      <c r="L25" s="11">
        <f t="shared" si="20"/>
        <v>306.38000000000005</v>
      </c>
      <c r="M25" s="11">
        <f t="shared" si="20"/>
        <v>306.38000000000005</v>
      </c>
      <c r="N25" s="11">
        <f t="shared" ref="N25:N37" si="21">SUM(B25:M25)</f>
        <v>3630.603000000001</v>
      </c>
    </row>
    <row r="26" spans="1:15" ht="21" customHeight="1" thickBot="1" x14ac:dyDescent="0.3">
      <c r="A26" s="4" t="s">
        <v>3</v>
      </c>
      <c r="B26" s="11">
        <f>35932.48*2.3%</f>
        <v>826.44704000000002</v>
      </c>
      <c r="C26" s="11">
        <f>35932.48*2.6%</f>
        <v>934.24448000000018</v>
      </c>
      <c r="D26" s="11">
        <f>35932.48*2.6%</f>
        <v>934.24448000000018</v>
      </c>
      <c r="E26" s="11">
        <f>35932.48*2.6%</f>
        <v>934.24448000000018</v>
      </c>
      <c r="F26" s="11">
        <f>35932.48*2.6%</f>
        <v>934.24448000000018</v>
      </c>
      <c r="G26" s="11">
        <f>46553.51*2.6%</f>
        <v>1210.3912600000001</v>
      </c>
      <c r="H26" s="11">
        <f>46280*2.6%</f>
        <v>1203.2800000000002</v>
      </c>
      <c r="I26" s="11">
        <f>46293.16*2.6%</f>
        <v>1203.6221600000001</v>
      </c>
      <c r="J26" s="11">
        <f>46293.16*2.6%</f>
        <v>1203.6221600000001</v>
      </c>
      <c r="K26" s="11">
        <f>49435.7*2.6%</f>
        <v>1285.3281999999999</v>
      </c>
      <c r="L26" s="11">
        <f>56187.72*2.6%</f>
        <v>1460.8807200000001</v>
      </c>
      <c r="M26" s="11">
        <f>46293.16*2.6%</f>
        <v>1203.6221600000001</v>
      </c>
      <c r="N26" s="11">
        <f t="shared" si="21"/>
        <v>13334.171620000003</v>
      </c>
    </row>
    <row r="27" spans="1:15" ht="23.25" customHeight="1" thickBot="1" x14ac:dyDescent="0.3">
      <c r="A27" s="4" t="s">
        <v>4</v>
      </c>
      <c r="B27" s="11">
        <f>32542.37*3%</f>
        <v>976.27109999999993</v>
      </c>
      <c r="C27" s="11">
        <f>31567.77*3%</f>
        <v>947.03309999999999</v>
      </c>
      <c r="D27" s="11">
        <f>32442.62*3%</f>
        <v>973.27859999999998</v>
      </c>
      <c r="E27" s="11">
        <f>51059.55*3%</f>
        <v>1531.7864999999999</v>
      </c>
      <c r="F27" s="11">
        <f>32852.17*3%</f>
        <v>985.56509999999992</v>
      </c>
      <c r="G27" s="11">
        <f>51228.35*3%</f>
        <v>1536.8505</v>
      </c>
      <c r="H27" s="11">
        <f>42618.29*3%</f>
        <v>1278.5487000000001</v>
      </c>
      <c r="I27" s="11">
        <f>43991.23*3%</f>
        <v>1319.7369000000001</v>
      </c>
      <c r="J27" s="11">
        <f>50354.38*3%</f>
        <v>1510.6313999999998</v>
      </c>
      <c r="K27" s="11">
        <f>44249.89*3%</f>
        <v>1327.4966999999999</v>
      </c>
      <c r="L27" s="11">
        <f>44202.38*3%</f>
        <v>1326.0713999999998</v>
      </c>
      <c r="M27" s="11">
        <f>48219.3*3%</f>
        <v>1446.579</v>
      </c>
      <c r="N27" s="11">
        <f t="shared" si="21"/>
        <v>15159.849</v>
      </c>
    </row>
    <row r="28" spans="1:15" ht="23.25" customHeight="1" thickBot="1" x14ac:dyDescent="0.3">
      <c r="A28" s="4" t="s">
        <v>9</v>
      </c>
      <c r="B28" s="11">
        <f>1531.9*12</f>
        <v>18382.800000000003</v>
      </c>
      <c r="C28" s="11">
        <f t="shared" ref="C28:M28" si="22">1531.9*12</f>
        <v>18382.800000000003</v>
      </c>
      <c r="D28" s="11">
        <f t="shared" si="22"/>
        <v>18382.800000000003</v>
      </c>
      <c r="E28" s="11">
        <f t="shared" si="22"/>
        <v>18382.800000000003</v>
      </c>
      <c r="F28" s="11">
        <f t="shared" si="22"/>
        <v>18382.800000000003</v>
      </c>
      <c r="G28" s="11">
        <f t="shared" si="22"/>
        <v>18382.800000000003</v>
      </c>
      <c r="H28" s="11">
        <f t="shared" si="22"/>
        <v>18382.800000000003</v>
      </c>
      <c r="I28" s="11">
        <f t="shared" si="22"/>
        <v>18382.800000000003</v>
      </c>
      <c r="J28" s="11">
        <f t="shared" si="22"/>
        <v>18382.800000000003</v>
      </c>
      <c r="K28" s="11">
        <f t="shared" si="22"/>
        <v>18382.800000000003</v>
      </c>
      <c r="L28" s="11">
        <f t="shared" si="22"/>
        <v>18382.800000000003</v>
      </c>
      <c r="M28" s="11">
        <f t="shared" si="22"/>
        <v>18382.800000000003</v>
      </c>
      <c r="N28" s="11">
        <f t="shared" si="21"/>
        <v>220593.59999999998</v>
      </c>
    </row>
    <row r="29" spans="1:15" ht="26.25" customHeight="1" thickBot="1" x14ac:dyDescent="0.3">
      <c r="A29" s="4" t="s">
        <v>19</v>
      </c>
      <c r="B29" s="11">
        <v>0</v>
      </c>
      <c r="C29" s="11">
        <v>0</v>
      </c>
      <c r="D29" s="11">
        <v>0</v>
      </c>
      <c r="E29" s="11">
        <v>0</v>
      </c>
      <c r="F29" s="11">
        <f>0+78.69</f>
        <v>78.69</v>
      </c>
      <c r="G29" s="11">
        <v>0</v>
      </c>
      <c r="H29" s="11">
        <v>0</v>
      </c>
      <c r="I29" s="11">
        <v>0</v>
      </c>
      <c r="J29" s="11">
        <v>0</v>
      </c>
      <c r="K29" s="11">
        <f>5434.74+1354.88</f>
        <v>6789.62</v>
      </c>
      <c r="L29" s="11">
        <v>0</v>
      </c>
      <c r="M29" s="11">
        <f>0+4.33</f>
        <v>4.33</v>
      </c>
      <c r="N29" s="11">
        <f t="shared" si="21"/>
        <v>6872.6399999999994</v>
      </c>
    </row>
    <row r="30" spans="1:15" ht="26.25" customHeight="1" thickBot="1" x14ac:dyDescent="0.3">
      <c r="A30" s="4" t="s">
        <v>20</v>
      </c>
      <c r="B30" s="11">
        <v>188.97</v>
      </c>
      <c r="C30" s="11">
        <v>188.97</v>
      </c>
      <c r="D30" s="11">
        <v>188.97</v>
      </c>
      <c r="E30" s="11">
        <v>188.97</v>
      </c>
      <c r="F30" s="11">
        <v>188.97</v>
      </c>
      <c r="G30" s="11">
        <v>188.97</v>
      </c>
      <c r="H30" s="11">
        <v>245.67</v>
      </c>
      <c r="I30" s="11">
        <v>245.67</v>
      </c>
      <c r="J30" s="11">
        <v>245.67</v>
      </c>
      <c r="K30" s="11">
        <v>245.67</v>
      </c>
      <c r="L30" s="11">
        <v>245.67</v>
      </c>
      <c r="M30" s="11">
        <v>245.67</v>
      </c>
      <c r="N30" s="11">
        <f t="shared" si="21"/>
        <v>2607.84</v>
      </c>
    </row>
    <row r="31" spans="1:15" ht="26.25" customHeight="1" thickBot="1" x14ac:dyDescent="0.3">
      <c r="A31" s="4" t="s">
        <v>21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3142.52</v>
      </c>
      <c r="K31" s="11">
        <v>3104.96</v>
      </c>
      <c r="L31" s="11">
        <v>0</v>
      </c>
      <c r="M31" s="11">
        <v>0</v>
      </c>
      <c r="N31" s="11">
        <f t="shared" si="21"/>
        <v>6247.48</v>
      </c>
    </row>
    <row r="32" spans="1:15" ht="26.25" customHeight="1" thickBot="1" x14ac:dyDescent="0.3">
      <c r="A32" s="4" t="s">
        <v>24</v>
      </c>
      <c r="B32" s="11">
        <f>127.1+0</f>
        <v>127.1</v>
      </c>
      <c r="C32" s="11">
        <f t="shared" ref="C32:E32" si="23">127.1+0</f>
        <v>127.1</v>
      </c>
      <c r="D32" s="11">
        <f t="shared" si="23"/>
        <v>127.1</v>
      </c>
      <c r="E32" s="11">
        <f t="shared" si="23"/>
        <v>127.1</v>
      </c>
      <c r="F32" s="11">
        <f>127.1+232.7</f>
        <v>359.79999999999995</v>
      </c>
      <c r="G32" s="11">
        <f>127.1+0</f>
        <v>127.1</v>
      </c>
      <c r="H32" s="11">
        <f>140.27+0</f>
        <v>140.27000000000001</v>
      </c>
      <c r="I32" s="11">
        <f t="shared" ref="I32:M32" si="24">140.27+0</f>
        <v>140.27000000000001</v>
      </c>
      <c r="J32" s="11">
        <f t="shared" si="24"/>
        <v>140.27000000000001</v>
      </c>
      <c r="K32" s="11">
        <f t="shared" si="24"/>
        <v>140.27000000000001</v>
      </c>
      <c r="L32" s="11">
        <f t="shared" si="24"/>
        <v>140.27000000000001</v>
      </c>
      <c r="M32" s="11">
        <f t="shared" si="24"/>
        <v>140.27000000000001</v>
      </c>
      <c r="N32" s="11">
        <f t="shared" si="21"/>
        <v>1836.9199999999998</v>
      </c>
    </row>
    <row r="33" spans="1:14" ht="22.5" customHeight="1" thickBot="1" x14ac:dyDescent="0.3">
      <c r="A33" s="4" t="s">
        <v>6</v>
      </c>
      <c r="B33" s="20">
        <f t="shared" ref="B33:F33" si="25">1531.9*3.04</f>
        <v>4656.9760000000006</v>
      </c>
      <c r="C33" s="20">
        <f t="shared" si="25"/>
        <v>4656.9760000000006</v>
      </c>
      <c r="D33" s="20">
        <f t="shared" si="25"/>
        <v>4656.9760000000006</v>
      </c>
      <c r="E33" s="20">
        <f t="shared" si="25"/>
        <v>4656.9760000000006</v>
      </c>
      <c r="F33" s="20">
        <f t="shared" si="25"/>
        <v>4656.9760000000006</v>
      </c>
      <c r="G33" s="20">
        <f>1531.9*4.05</f>
        <v>6204.1949999999997</v>
      </c>
      <c r="H33" s="20">
        <f t="shared" ref="H33:M33" si="26">1531.9*4.05</f>
        <v>6204.1949999999997</v>
      </c>
      <c r="I33" s="20">
        <f t="shared" si="26"/>
        <v>6204.1949999999997</v>
      </c>
      <c r="J33" s="20">
        <f t="shared" si="26"/>
        <v>6204.1949999999997</v>
      </c>
      <c r="K33" s="20">
        <f t="shared" si="26"/>
        <v>6204.1949999999997</v>
      </c>
      <c r="L33" s="20">
        <f t="shared" si="26"/>
        <v>6204.1949999999997</v>
      </c>
      <c r="M33" s="20">
        <f t="shared" si="26"/>
        <v>6204.1949999999997</v>
      </c>
      <c r="N33" s="11">
        <f t="shared" si="21"/>
        <v>66714.244999999995</v>
      </c>
    </row>
    <row r="34" spans="1:14" ht="21.75" customHeight="1" thickBot="1" x14ac:dyDescent="0.3">
      <c r="A34" s="4" t="s">
        <v>28</v>
      </c>
      <c r="B34" s="11">
        <v>2346.0300000000002</v>
      </c>
      <c r="C34" s="11">
        <v>2522.61</v>
      </c>
      <c r="D34" s="11">
        <v>2762.27</v>
      </c>
      <c r="E34" s="11" t="s">
        <v>44</v>
      </c>
      <c r="F34" s="11">
        <v>4047.48</v>
      </c>
      <c r="G34" s="11">
        <v>2286.27</v>
      </c>
      <c r="H34" s="11">
        <v>3656.64</v>
      </c>
      <c r="I34" s="11">
        <v>2655.3</v>
      </c>
      <c r="J34" s="11">
        <v>2632.65</v>
      </c>
      <c r="K34" s="11">
        <v>3014.15</v>
      </c>
      <c r="L34" s="11">
        <v>2708.35</v>
      </c>
      <c r="M34" s="11">
        <v>2464.4899999999998</v>
      </c>
      <c r="N34" s="11">
        <f t="shared" si="21"/>
        <v>31096.239999999998</v>
      </c>
    </row>
    <row r="35" spans="1:14" ht="21.75" customHeight="1" thickBot="1" x14ac:dyDescent="0.3">
      <c r="A35" s="4" t="s">
        <v>29</v>
      </c>
      <c r="B35" s="11">
        <v>350</v>
      </c>
      <c r="C35" s="11">
        <v>377</v>
      </c>
      <c r="D35" s="11">
        <v>413</v>
      </c>
      <c r="E35" s="11">
        <v>370</v>
      </c>
      <c r="F35" s="11">
        <v>605</v>
      </c>
      <c r="G35" s="11">
        <v>341</v>
      </c>
      <c r="H35" s="11">
        <v>546</v>
      </c>
      <c r="I35" s="11">
        <v>397</v>
      </c>
      <c r="J35" s="11">
        <v>393</v>
      </c>
      <c r="K35" s="11">
        <v>450</v>
      </c>
      <c r="L35" s="11">
        <v>405</v>
      </c>
      <c r="M35" s="11">
        <v>368</v>
      </c>
      <c r="N35" s="11">
        <f t="shared" si="21"/>
        <v>5015</v>
      </c>
    </row>
    <row r="36" spans="1:14" ht="22.5" customHeight="1" thickBot="1" x14ac:dyDescent="0.3">
      <c r="A36" s="4" t="s">
        <v>27</v>
      </c>
      <c r="B36" s="11">
        <v>1000</v>
      </c>
      <c r="C36" s="11">
        <v>1000</v>
      </c>
      <c r="D36" s="11">
        <v>1000</v>
      </c>
      <c r="E36" s="11">
        <v>1000</v>
      </c>
      <c r="F36" s="11">
        <v>1000</v>
      </c>
      <c r="G36" s="11">
        <v>1000</v>
      </c>
      <c r="H36" s="11">
        <v>1000</v>
      </c>
      <c r="I36" s="11">
        <v>1000</v>
      </c>
      <c r="J36" s="11">
        <v>1000</v>
      </c>
      <c r="K36" s="11">
        <v>1000</v>
      </c>
      <c r="L36" s="11">
        <v>1000</v>
      </c>
      <c r="M36" s="11">
        <v>1000</v>
      </c>
      <c r="N36" s="11">
        <f t="shared" si="21"/>
        <v>12000</v>
      </c>
    </row>
    <row r="37" spans="1:14" ht="24" customHeight="1" thickBot="1" x14ac:dyDescent="0.3">
      <c r="A37" s="4" t="s">
        <v>10</v>
      </c>
      <c r="B37" s="11">
        <f>1642.1+12551.4</f>
        <v>14193.5</v>
      </c>
      <c r="C37" s="11">
        <f>1448.5</f>
        <v>1448.5</v>
      </c>
      <c r="D37" s="11">
        <f>105+8988.2</f>
        <v>9093.2000000000007</v>
      </c>
      <c r="E37" s="11">
        <v>0</v>
      </c>
      <c r="F37" s="11">
        <f>3846.8</f>
        <v>3846.8</v>
      </c>
      <c r="G37" s="11">
        <f>22410+45107.5+2040.6</f>
        <v>69558.100000000006</v>
      </c>
      <c r="H37" s="11">
        <f>3438.3+3037.9</f>
        <v>6476.2000000000007</v>
      </c>
      <c r="I37" s="11">
        <f>1669.5</f>
        <v>1669.5</v>
      </c>
      <c r="J37" s="11">
        <f>21000</f>
        <v>21000</v>
      </c>
      <c r="K37" s="11">
        <f>1600+765.9</f>
        <v>2365.9</v>
      </c>
      <c r="L37" s="11">
        <f>1000+2000.5</f>
        <v>3000.5</v>
      </c>
      <c r="M37" s="11">
        <f>2040.6</f>
        <v>2040.6</v>
      </c>
      <c r="N37" s="11">
        <f t="shared" si="21"/>
        <v>134692.80000000002</v>
      </c>
    </row>
    <row r="38" spans="1:14" ht="22.5" customHeight="1" thickBot="1" x14ac:dyDescent="0.3">
      <c r="A38" s="9" t="s">
        <v>22</v>
      </c>
      <c r="B38" s="10">
        <f t="shared" ref="B38:N38" si="27">SUM(B24:B37)</f>
        <v>44227.657140000003</v>
      </c>
      <c r="C38" s="10">
        <f t="shared" si="27"/>
        <v>31810.753580000004</v>
      </c>
      <c r="D38" s="10">
        <f t="shared" si="27"/>
        <v>39757.359080000002</v>
      </c>
      <c r="E38" s="10">
        <f t="shared" si="27"/>
        <v>28417.396980000005</v>
      </c>
      <c r="F38" s="10">
        <f t="shared" si="27"/>
        <v>36311.845580000001</v>
      </c>
      <c r="G38" s="10">
        <f t="shared" si="27"/>
        <v>102061.19676000001</v>
      </c>
      <c r="H38" s="10">
        <f t="shared" si="27"/>
        <v>40359.123699999996</v>
      </c>
      <c r="I38" s="10">
        <f t="shared" si="27"/>
        <v>34443.61406</v>
      </c>
      <c r="J38" s="10">
        <f t="shared" si="27"/>
        <v>57080.878560000005</v>
      </c>
      <c r="K38" s="10">
        <f t="shared" si="27"/>
        <v>45535.909899999999</v>
      </c>
      <c r="L38" s="10">
        <f t="shared" si="27"/>
        <v>36099.257119999995</v>
      </c>
      <c r="M38" s="10">
        <f t="shared" si="27"/>
        <v>34726.076160000004</v>
      </c>
      <c r="N38" s="10">
        <f t="shared" si="27"/>
        <v>530831.06862000003</v>
      </c>
    </row>
    <row r="39" spans="1:14" ht="23.25" customHeight="1" thickBot="1" x14ac:dyDescent="0.3">
      <c r="A39" s="4" t="s">
        <v>5</v>
      </c>
      <c r="B39" s="18">
        <f t="shared" ref="B39:N39" si="28">B15-B38</f>
        <v>-11585.28714</v>
      </c>
      <c r="C39" s="18">
        <f t="shared" si="28"/>
        <v>-142.98358000000007</v>
      </c>
      <c r="D39" s="18">
        <f t="shared" si="28"/>
        <v>-7214.7390800000067</v>
      </c>
      <c r="E39" s="18">
        <f t="shared" si="28"/>
        <v>22742.153019999998</v>
      </c>
      <c r="F39" s="18">
        <f t="shared" si="28"/>
        <v>-3359.6755800000028</v>
      </c>
      <c r="G39" s="18">
        <f t="shared" si="28"/>
        <v>-50732.846760000008</v>
      </c>
      <c r="H39" s="18">
        <f t="shared" si="28"/>
        <v>2359.1663000000044</v>
      </c>
      <c r="I39" s="18">
        <f t="shared" si="28"/>
        <v>9647.615939999996</v>
      </c>
      <c r="J39" s="18">
        <f t="shared" si="28"/>
        <v>-5226.49856</v>
      </c>
      <c r="K39" s="18">
        <f t="shared" si="28"/>
        <v>-1186.0198999999993</v>
      </c>
      <c r="L39" s="18">
        <f t="shared" si="28"/>
        <v>8203.1228800000026</v>
      </c>
      <c r="M39" s="18">
        <f t="shared" si="28"/>
        <v>13593.223839999999</v>
      </c>
      <c r="N39" s="14">
        <f t="shared" si="28"/>
        <v>-22902.768620000046</v>
      </c>
    </row>
    <row r="40" spans="1:14" ht="23.25" customHeight="1" thickBot="1" x14ac:dyDescent="0.3">
      <c r="A40" s="4" t="s">
        <v>7</v>
      </c>
      <c r="B40" s="14">
        <f t="shared" ref="B40:N40" si="29">B5+B39</f>
        <v>172370.87286</v>
      </c>
      <c r="C40" s="14">
        <f t="shared" si="29"/>
        <v>172227.88928</v>
      </c>
      <c r="D40" s="14">
        <f t="shared" si="29"/>
        <v>165013.1502</v>
      </c>
      <c r="E40" s="14">
        <f t="shared" si="29"/>
        <v>187755.30322</v>
      </c>
      <c r="F40" s="14">
        <f t="shared" si="29"/>
        <v>184395.62763999999</v>
      </c>
      <c r="G40" s="14">
        <f t="shared" si="29"/>
        <v>133662.78087999998</v>
      </c>
      <c r="H40" s="14">
        <f t="shared" si="29"/>
        <v>136021.94717999999</v>
      </c>
      <c r="I40" s="14">
        <f t="shared" si="29"/>
        <v>145669.56311999998</v>
      </c>
      <c r="J40" s="14">
        <f t="shared" si="29"/>
        <v>140443.06455999997</v>
      </c>
      <c r="K40" s="14">
        <f t="shared" si="29"/>
        <v>139257.04465999996</v>
      </c>
      <c r="L40" s="14">
        <f t="shared" si="29"/>
        <v>147460.16753999997</v>
      </c>
      <c r="M40" s="14">
        <f t="shared" si="29"/>
        <v>161053.39137999996</v>
      </c>
      <c r="N40" s="14">
        <f t="shared" si="29"/>
        <v>161053.39137999996</v>
      </c>
    </row>
    <row r="41" spans="1:14" ht="23.25" customHeight="1" thickBot="1" x14ac:dyDescent="0.3">
      <c r="A41" s="4" t="s">
        <v>43</v>
      </c>
      <c r="B41" s="11">
        <v>0</v>
      </c>
      <c r="C41" s="11">
        <v>0</v>
      </c>
      <c r="D41" s="11">
        <v>5384.81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SUM(B41:M41)</f>
        <v>5384.81</v>
      </c>
    </row>
    <row r="42" spans="1:14" ht="27" customHeight="1" thickBot="1" x14ac:dyDescent="0.3">
      <c r="A42" s="15" t="s">
        <v>11</v>
      </c>
      <c r="B42" s="19">
        <f>B6+B15-B7</f>
        <v>-78139.16</v>
      </c>
      <c r="C42" s="19">
        <f t="shared" ref="C42" si="30">C6+C15-C7</f>
        <v>-82703.87</v>
      </c>
      <c r="D42" s="19">
        <f>D6+D15-D7+D41</f>
        <v>-81008.92</v>
      </c>
      <c r="E42" s="19">
        <f t="shared" ref="E42:N42" si="31">E6+E15-E7+E41</f>
        <v>-66081.849999999991</v>
      </c>
      <c r="F42" s="19">
        <f t="shared" si="31"/>
        <v>-69362.159999999989</v>
      </c>
      <c r="G42" s="19">
        <f t="shared" si="31"/>
        <v>-64887.319999999992</v>
      </c>
      <c r="H42" s="19">
        <f t="shared" si="31"/>
        <v>-68749.03</v>
      </c>
      <c r="I42" s="19">
        <f t="shared" si="31"/>
        <v>-71250.960000000006</v>
      </c>
      <c r="J42" s="19">
        <f t="shared" si="31"/>
        <v>-65989.740000000005</v>
      </c>
      <c r="K42" s="19">
        <f t="shared" si="31"/>
        <v>-71175.550000000017</v>
      </c>
      <c r="L42" s="19">
        <f t="shared" si="31"/>
        <v>-83160.890000000014</v>
      </c>
      <c r="M42" s="19">
        <f t="shared" si="31"/>
        <v>-81234.750000000015</v>
      </c>
      <c r="N42" s="19">
        <f t="shared" si="31"/>
        <v>-81234.750000000058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2026-02-16T02:53:02Z</cp:lastPrinted>
  <dcterms:created xsi:type="dcterms:W3CDTF">2011-06-06T03:25:48Z</dcterms:created>
  <dcterms:modified xsi:type="dcterms:W3CDTF">2026-02-16T03:22:52Z</dcterms:modified>
</cp:coreProperties>
</file>