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56" windowWidth="17496" windowHeight="10932"/>
  </bookViews>
  <sheets>
    <sheet name="2025" sheetId="1" r:id="rId1"/>
  </sheets>
  <calcPr calcId="144525" refMode="R1C1" calcOnSave="0" concurrentCalc="0"/>
</workbook>
</file>

<file path=xl/calcChain.xml><?xml version="1.0" encoding="utf-8"?>
<calcChain xmlns="http://schemas.openxmlformats.org/spreadsheetml/2006/main">
  <c r="M37" i="1" l="1"/>
  <c r="K37" i="1"/>
  <c r="L37" i="1"/>
  <c r="K32" i="1"/>
  <c r="L32" i="1"/>
  <c r="M32" i="1"/>
  <c r="M27" i="1"/>
  <c r="M16" i="1"/>
  <c r="M26" i="1"/>
  <c r="M8" i="1"/>
  <c r="K27" i="1"/>
  <c r="L27" i="1"/>
  <c r="L16" i="1"/>
  <c r="L26" i="1"/>
  <c r="L8" i="1"/>
  <c r="K16" i="1"/>
  <c r="K26" i="1"/>
  <c r="K8" i="1"/>
  <c r="K33" i="1"/>
  <c r="L33" i="1"/>
  <c r="M33" i="1"/>
  <c r="K28" i="1"/>
  <c r="L28" i="1"/>
  <c r="M28" i="1"/>
  <c r="K25" i="1"/>
  <c r="L25" i="1"/>
  <c r="M25" i="1"/>
  <c r="K24" i="1"/>
  <c r="L24" i="1"/>
  <c r="M24" i="1"/>
  <c r="J37" i="1"/>
  <c r="I32" i="1"/>
  <c r="J32" i="1"/>
  <c r="H32" i="1"/>
  <c r="H37" i="1"/>
  <c r="J27" i="1"/>
  <c r="J16" i="1"/>
  <c r="J26" i="1"/>
  <c r="J8" i="1"/>
  <c r="I27" i="1"/>
  <c r="I16" i="1"/>
  <c r="I26" i="1"/>
  <c r="I8" i="1"/>
  <c r="H27" i="1"/>
  <c r="H16" i="1"/>
  <c r="H33" i="1"/>
  <c r="I33" i="1"/>
  <c r="J33" i="1"/>
  <c r="H28" i="1"/>
  <c r="I28" i="1"/>
  <c r="J28" i="1"/>
  <c r="H26" i="1"/>
  <c r="H25" i="1"/>
  <c r="I25" i="1"/>
  <c r="J25" i="1"/>
  <c r="H24" i="1"/>
  <c r="I24" i="1"/>
  <c r="J24" i="1"/>
  <c r="H8" i="1"/>
  <c r="G37" i="1"/>
  <c r="E32" i="1"/>
  <c r="F32" i="1"/>
  <c r="G32" i="1"/>
  <c r="E37" i="1"/>
  <c r="G27" i="1"/>
  <c r="G16" i="1"/>
  <c r="G26" i="1"/>
  <c r="G8" i="1"/>
  <c r="F27" i="1"/>
  <c r="F16" i="1"/>
  <c r="F26" i="1"/>
  <c r="F8" i="1"/>
  <c r="E27" i="1"/>
  <c r="E16" i="1"/>
  <c r="E26" i="1"/>
  <c r="E8" i="1"/>
  <c r="G33" i="1"/>
  <c r="E33" i="1"/>
  <c r="F33" i="1"/>
  <c r="E28" i="1"/>
  <c r="F28" i="1"/>
  <c r="G28" i="1"/>
  <c r="E25" i="1"/>
  <c r="F25" i="1"/>
  <c r="G25" i="1"/>
  <c r="E24" i="1"/>
  <c r="F24" i="1"/>
  <c r="G24" i="1"/>
  <c r="C32" i="1"/>
  <c r="D32" i="1"/>
  <c r="B32" i="1"/>
  <c r="C37" i="1"/>
  <c r="B37" i="1"/>
  <c r="E7" i="1"/>
  <c r="E15" i="1"/>
  <c r="E42" i="1"/>
  <c r="F6" i="1"/>
  <c r="F7" i="1"/>
  <c r="F15" i="1"/>
  <c r="F42" i="1"/>
  <c r="G6" i="1"/>
  <c r="G7" i="1"/>
  <c r="G15" i="1"/>
  <c r="G42" i="1"/>
  <c r="H6" i="1"/>
  <c r="H7" i="1"/>
  <c r="H15" i="1"/>
  <c r="H42" i="1"/>
  <c r="I6" i="1"/>
  <c r="I7" i="1"/>
  <c r="I15" i="1"/>
  <c r="I42" i="1"/>
  <c r="J6" i="1"/>
  <c r="J7" i="1"/>
  <c r="J15" i="1"/>
  <c r="J42" i="1"/>
  <c r="K6" i="1"/>
  <c r="K7" i="1"/>
  <c r="K15" i="1"/>
  <c r="K42" i="1"/>
  <c r="L6" i="1"/>
  <c r="L7" i="1"/>
  <c r="L15" i="1"/>
  <c r="L42" i="1"/>
  <c r="M6" i="1"/>
  <c r="M7" i="1"/>
  <c r="M15" i="1"/>
  <c r="M42" i="1"/>
  <c r="N7" i="1"/>
  <c r="N15" i="1"/>
  <c r="N42" i="1"/>
  <c r="D42" i="1"/>
  <c r="D26" i="1"/>
  <c r="C28" i="1"/>
  <c r="D28" i="1"/>
  <c r="B28" i="1"/>
  <c r="C26" i="1"/>
  <c r="D25" i="1"/>
  <c r="C25" i="1"/>
  <c r="D27" i="1"/>
  <c r="D16" i="1"/>
  <c r="D8" i="1"/>
  <c r="N41" i="1"/>
  <c r="C27" i="1"/>
  <c r="C16" i="1"/>
  <c r="C8" i="1"/>
  <c r="B27" i="1"/>
  <c r="B16" i="1"/>
  <c r="B26" i="1"/>
  <c r="B8" i="1"/>
  <c r="C33" i="1"/>
  <c r="D33" i="1"/>
  <c r="C24" i="1"/>
  <c r="D24" i="1"/>
  <c r="B33" i="1"/>
  <c r="B25" i="1"/>
  <c r="B24" i="1"/>
  <c r="N32" i="1"/>
  <c r="N33" i="1"/>
  <c r="N34" i="1"/>
  <c r="N14" i="1"/>
  <c r="N6" i="1"/>
  <c r="N5" i="1"/>
  <c r="N8" i="1"/>
  <c r="N24" i="1"/>
  <c r="N25" i="1"/>
  <c r="N28" i="1"/>
  <c r="N29" i="1"/>
  <c r="N30" i="1"/>
  <c r="N31" i="1"/>
  <c r="N35" i="1"/>
  <c r="N36" i="1"/>
  <c r="N37" i="1"/>
  <c r="N17" i="1"/>
  <c r="N18" i="1"/>
  <c r="N19" i="1"/>
  <c r="N20" i="1"/>
  <c r="N21" i="1"/>
  <c r="N22" i="1"/>
  <c r="N16" i="1"/>
  <c r="N9" i="1"/>
  <c r="N10" i="1"/>
  <c r="N11" i="1"/>
  <c r="N12" i="1"/>
  <c r="N13" i="1"/>
  <c r="M38" i="1"/>
  <c r="M39" i="1"/>
  <c r="L38" i="1"/>
  <c r="L39" i="1"/>
  <c r="N27" i="1"/>
  <c r="K38" i="1"/>
  <c r="C15" i="1"/>
  <c r="D15" i="1"/>
  <c r="D38" i="1"/>
  <c r="D39" i="1"/>
  <c r="G38" i="1"/>
  <c r="G39" i="1"/>
  <c r="J38" i="1"/>
  <c r="J39" i="1"/>
  <c r="K39" i="1"/>
  <c r="I38" i="1"/>
  <c r="I39" i="1"/>
  <c r="H38" i="1"/>
  <c r="H39" i="1"/>
  <c r="N26" i="1"/>
  <c r="D7" i="1"/>
  <c r="C7" i="1"/>
  <c r="B15" i="1"/>
  <c r="B7" i="1"/>
  <c r="B38" i="1"/>
  <c r="B39" i="1"/>
  <c r="B40" i="1"/>
  <c r="B42" i="1"/>
  <c r="C6" i="1"/>
  <c r="C42" i="1"/>
  <c r="E38" i="1"/>
  <c r="F38" i="1"/>
  <c r="F39" i="1"/>
  <c r="E39" i="1"/>
  <c r="D6" i="1"/>
  <c r="C38" i="1"/>
  <c r="C5" i="1"/>
  <c r="N38" i="1"/>
  <c r="E6" i="1"/>
  <c r="C39" i="1"/>
  <c r="C40" i="1"/>
  <c r="D5" i="1"/>
  <c r="D40" i="1"/>
  <c r="N39" i="1"/>
  <c r="N40" i="1"/>
  <c r="E5" i="1"/>
  <c r="E40" i="1"/>
  <c r="F5" i="1"/>
  <c r="F40" i="1"/>
  <c r="G5" i="1"/>
  <c r="G40" i="1"/>
  <c r="H5" i="1"/>
  <c r="H40" i="1"/>
  <c r="I5" i="1"/>
  <c r="I40" i="1"/>
  <c r="J5" i="1"/>
  <c r="J40" i="1"/>
  <c r="K5" i="1"/>
  <c r="K40" i="1"/>
  <c r="L5" i="1"/>
  <c r="L40" i="1"/>
  <c r="M5" i="1"/>
  <c r="M40" i="1"/>
</calcChain>
</file>

<file path=xl/sharedStrings.xml><?xml version="1.0" encoding="utf-8"?>
<sst xmlns="http://schemas.openxmlformats.org/spreadsheetml/2006/main" count="53" uniqueCount="45">
  <si>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</si>
  <si>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</si>
  <si>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</si>
  <si>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</si>
  <si>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</si>
  <si>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</si>
  <si>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</si>
  <si>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</si>
  <si>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</si>
  <si>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</si>
  <si>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</si>
  <si>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</si>
  <si>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</si>
  <si>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</si>
  <si>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</si>
  <si>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</si>
  <si>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</si>
  <si>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</si>
  <si>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</si>
  <si>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</si>
  <si>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</si>
  <si>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</si>
  <si>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</si>
  <si>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</si>
  <si>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</si>
  <si>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Отведение сточных вод ОИ</t>
  </si>
  <si>
    <t>Тех.обслуживание узла учета теплоэнергии</t>
  </si>
  <si>
    <t xml:space="preserve">Содержание жилья и текущий ремонт,  ОПУ </t>
  </si>
  <si>
    <t>Содержание жилья и текущий ремонт,  ОПУ</t>
  </si>
  <si>
    <t>Вознаграждение совета МКД</t>
  </si>
  <si>
    <t>Январь 2025г.</t>
  </si>
  <si>
    <t>Февраль 2025г.</t>
  </si>
  <si>
    <t>Март 2025г.</t>
  </si>
  <si>
    <t>Апрель 2025г.</t>
  </si>
  <si>
    <t>Май 2025г.</t>
  </si>
  <si>
    <t>Июнь 2025г.</t>
  </si>
  <si>
    <t>Июль 2025г.</t>
  </si>
  <si>
    <t>Август 2025г.</t>
  </si>
  <si>
    <t>Сентябрь 2025г.</t>
  </si>
  <si>
    <t>Октябрь 2025г</t>
  </si>
  <si>
    <t>Ноябрь 2025г</t>
  </si>
  <si>
    <t>Декабрь 2025г</t>
  </si>
  <si>
    <t>Всего:                       за  2025г.</t>
  </si>
  <si>
    <t xml:space="preserve">Корректировка задолженности </t>
  </si>
  <si>
    <t xml:space="preserve">                 ОТЧЕТ по дому Липового, 80/1 за период 01.01.2025г. по 31.12.2025г.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</si>
</sst>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3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164" fontId="5" fillId="0" borderId="5" xfId="0" applyNumberFormat="1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  <xf numFmtId="164" fontId="5" fillId="0" borderId="6" xfId="0" applyNumberFormat="1" applyFont="1" applyBorder="1" applyAlignment="1">
      <alignment horizontal="left" vertical="top" wrapText="1"/>
    </xf>
    <xf numFmtId="164" fontId="5" fillId="0" borderId="7" xfId="0" applyNumberFormat="1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abSelected="1" topLeftCell="A29" zoomScale="75" workbookViewId="0">
      <selection activeCell="A44" sqref="A44"/>
    </sheetView>
  </sheetViews>
  <sheetFormatPr defaultRowHeight="13.2" x14ac:dyDescent="0.25"/>
  <cols>
    <col min="1" max="1" width="58.6640625" customWidth="1"/>
    <col min="2" max="2" width="14.109375" customWidth="1"/>
    <col min="3" max="3" width="13.44140625" customWidth="1"/>
    <col min="4" max="4" width="14.33203125" customWidth="1"/>
    <col min="5" max="5" width="13.5546875" customWidth="1"/>
    <col min="6" max="6" width="13.6640625" customWidth="1"/>
    <col min="7" max="7" width="13.88671875" customWidth="1"/>
    <col min="8" max="8" width="14.44140625" customWidth="1"/>
    <col min="9" max="13" width="13.88671875" customWidth="1"/>
    <col min="14" max="14" width="15.88671875" customWidth="1"/>
  </cols>
  <sheetData>
    <row r="1" spans="1:18" ht="20.25" customHeight="1" x14ac:dyDescent="0.35">
      <c r="A1" s="19" t="s">
        <v>44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6" t="s">
        <v>0</v>
      </c>
      <c r="B4" s="7" t="s">
        <v>30</v>
      </c>
      <c r="C4" s="7" t="s">
        <v>31</v>
      </c>
      <c r="D4" s="7" t="s">
        <v>32</v>
      </c>
      <c r="E4" s="7" t="s">
        <v>33</v>
      </c>
      <c r="F4" s="7" t="s">
        <v>34</v>
      </c>
      <c r="G4" s="7" t="s">
        <v>35</v>
      </c>
      <c r="H4" s="7" t="s">
        <v>36</v>
      </c>
      <c r="I4" s="7" t="s">
        <v>37</v>
      </c>
      <c r="J4" s="7" t="s">
        <v>38</v>
      </c>
      <c r="K4" s="7" t="s">
        <v>39</v>
      </c>
      <c r="L4" s="7" t="s">
        <v>40</v>
      </c>
      <c r="M4" s="7" t="s">
        <v>41</v>
      </c>
      <c r="N4" s="7" t="s">
        <v>42</v>
      </c>
    </row>
    <row r="5" spans="1:18" ht="23.25" customHeight="1" thickBot="1" x14ac:dyDescent="0.3">
      <c r="A5" s="8" t="s">
        <v>16</v>
      </c>
      <c r="B5" s="9">
        <v>-547349.77</v>
      </c>
      <c r="C5" s="9">
        <f t="shared" ref="C5:D5" si="0">B40</f>
        <v>-553506.63488000003</v>
      </c>
      <c r="D5" s="9">
        <f t="shared" si="0"/>
        <v>-555613.54356000002</v>
      </c>
      <c r="E5" s="9">
        <f t="shared" ref="E5" si="1">D40</f>
        <v>-545041.75881999999</v>
      </c>
      <c r="F5" s="9">
        <f t="shared" ref="F5" si="2">E40</f>
        <v>-554847.31857999996</v>
      </c>
      <c r="G5" s="9">
        <f t="shared" ref="G5" si="3">F40</f>
        <v>-557864.89443999995</v>
      </c>
      <c r="H5" s="9">
        <f t="shared" ref="H5" si="4">G40</f>
        <v>-556492.20231999992</v>
      </c>
      <c r="I5" s="9">
        <f t="shared" ref="I5" si="5">H40</f>
        <v>-645669.48139999993</v>
      </c>
      <c r="J5" s="9">
        <f t="shared" ref="J5" si="6">I40</f>
        <v>-630927.48895999999</v>
      </c>
      <c r="K5" s="9">
        <f t="shared" ref="K5" si="7">J40</f>
        <v>-608401.36375999998</v>
      </c>
      <c r="L5" s="9">
        <f t="shared" ref="L5" si="8">K40</f>
        <v>-594338.51795999997</v>
      </c>
      <c r="M5" s="9">
        <f t="shared" ref="M5" si="9">L40</f>
        <v>-599659.20525999996</v>
      </c>
      <c r="N5" s="9">
        <f>B5</f>
        <v>-547349.77</v>
      </c>
    </row>
    <row r="6" spans="1:18" ht="21" customHeight="1" thickBot="1" x14ac:dyDescent="0.3">
      <c r="A6" s="8" t="s">
        <v>13</v>
      </c>
      <c r="B6" s="9">
        <v>-223248.17</v>
      </c>
      <c r="C6" s="9">
        <f t="shared" ref="C6:M6" si="10">B42</f>
        <v>-239559.90000000002</v>
      </c>
      <c r="D6" s="9">
        <f t="shared" si="10"/>
        <v>-240930.36000000004</v>
      </c>
      <c r="E6" s="9">
        <f t="shared" si="10"/>
        <v>-235203.37000000005</v>
      </c>
      <c r="F6" s="9">
        <f t="shared" si="10"/>
        <v>-236429.69000000006</v>
      </c>
      <c r="G6" s="9">
        <f t="shared" si="10"/>
        <v>-255789.70000000007</v>
      </c>
      <c r="H6" s="9">
        <f t="shared" si="10"/>
        <v>-277486.08000000007</v>
      </c>
      <c r="I6" s="9">
        <f t="shared" si="10"/>
        <v>-271467.02000000008</v>
      </c>
      <c r="J6" s="9">
        <f t="shared" si="10"/>
        <v>-287140.84000000008</v>
      </c>
      <c r="K6" s="9">
        <f t="shared" si="10"/>
        <v>-280722.3600000001</v>
      </c>
      <c r="L6" s="9">
        <f t="shared" si="10"/>
        <v>-273100.26000000007</v>
      </c>
      <c r="M6" s="9">
        <f t="shared" si="10"/>
        <v>-283513.19000000006</v>
      </c>
      <c r="N6" s="9">
        <f>B6</f>
        <v>-223248.17</v>
      </c>
    </row>
    <row r="7" spans="1:18" ht="20.25" customHeight="1" thickBot="1" x14ac:dyDescent="0.3">
      <c r="A7" s="10" t="s">
        <v>12</v>
      </c>
      <c r="B7" s="11">
        <f>SUM(B8:B14)</f>
        <v>70061.259999999995</v>
      </c>
      <c r="C7" s="11">
        <f>SUM(C8:C14)</f>
        <v>68626.83</v>
      </c>
      <c r="D7" s="11">
        <f>SUM(D8:D14)</f>
        <v>66708.56</v>
      </c>
      <c r="E7" s="11">
        <f t="shared" ref="E7:G7" si="11">SUM(E8:E14)</f>
        <v>66708.56</v>
      </c>
      <c r="F7" s="11">
        <f t="shared" si="11"/>
        <v>77533.86</v>
      </c>
      <c r="G7" s="11">
        <f t="shared" si="11"/>
        <v>97755.87999999999</v>
      </c>
      <c r="H7" s="11">
        <f>SUM(H8:H14)</f>
        <v>98538.87999999999</v>
      </c>
      <c r="I7" s="11">
        <f>SUM(I8:I14)</f>
        <v>100367.36</v>
      </c>
      <c r="J7" s="11">
        <f>SUM(J8:J14)</f>
        <v>100974.65</v>
      </c>
      <c r="K7" s="11">
        <f t="shared" ref="K7:M7" si="12">SUM(K8:K14)</f>
        <v>95077.7</v>
      </c>
      <c r="L7" s="11">
        <f t="shared" si="12"/>
        <v>101519.2</v>
      </c>
      <c r="M7" s="11">
        <f t="shared" si="12"/>
        <v>95077.7</v>
      </c>
      <c r="N7" s="11">
        <f>SUM(B7:M7)</f>
        <v>1038950.4399999998</v>
      </c>
    </row>
    <row r="8" spans="1:18" ht="21" customHeight="1" thickBot="1" x14ac:dyDescent="0.3">
      <c r="A8" s="3" t="s">
        <v>27</v>
      </c>
      <c r="B8" s="12">
        <f>64842.1+1388.31</f>
        <v>66230.41</v>
      </c>
      <c r="C8" s="12">
        <f>1388.31+64842.1</f>
        <v>66230.41</v>
      </c>
      <c r="D8" s="12">
        <f>64842.1+1388.31</f>
        <v>66230.41</v>
      </c>
      <c r="E8" s="12">
        <f>64842.1+1388.31</f>
        <v>66230.41</v>
      </c>
      <c r="F8" s="12">
        <f>64842.1+1388.31</f>
        <v>66230.41</v>
      </c>
      <c r="G8" s="12">
        <f>93115+1388.31</f>
        <v>94503.31</v>
      </c>
      <c r="H8" s="12">
        <f>93115+1388.31</f>
        <v>94503.31</v>
      </c>
      <c r="I8" s="12">
        <f>1388.31+93115</f>
        <v>94503.31</v>
      </c>
      <c r="J8" s="12">
        <f>93115+1388.31</f>
        <v>94503.31</v>
      </c>
      <c r="K8" s="12">
        <f>93115+1388.31</f>
        <v>94503.31</v>
      </c>
      <c r="L8" s="12">
        <f>93115+1388.31</f>
        <v>94503.31</v>
      </c>
      <c r="M8" s="12">
        <f>1388.31+93115</f>
        <v>94503.31</v>
      </c>
      <c r="N8" s="12">
        <f>SUM(B8:M8)</f>
        <v>992675.2200000002</v>
      </c>
    </row>
    <row r="9" spans="1:18" ht="21" customHeight="1" thickBot="1" x14ac:dyDescent="0.3">
      <c r="A9" s="3" t="s">
        <v>17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f t="shared" ref="N9:N14" si="13">SUM(B9:M9)</f>
        <v>0</v>
      </c>
    </row>
    <row r="10" spans="1:18" ht="21" customHeight="1" thickBot="1" x14ac:dyDescent="0.3">
      <c r="A10" s="3" t="s">
        <v>18</v>
      </c>
      <c r="B10" s="12">
        <v>238.04</v>
      </c>
      <c r="C10" s="12">
        <v>238.04</v>
      </c>
      <c r="D10" s="12">
        <v>238.04</v>
      </c>
      <c r="E10" s="12">
        <v>238.04</v>
      </c>
      <c r="F10" s="12">
        <v>238.04</v>
      </c>
      <c r="G10" s="12">
        <v>238.04</v>
      </c>
      <c r="H10" s="12">
        <v>309.37</v>
      </c>
      <c r="I10" s="12">
        <v>309.37</v>
      </c>
      <c r="J10" s="12">
        <v>309.37</v>
      </c>
      <c r="K10" s="12">
        <v>309.37</v>
      </c>
      <c r="L10" s="12">
        <v>309.37</v>
      </c>
      <c r="M10" s="12">
        <v>309.37</v>
      </c>
      <c r="N10" s="12">
        <f t="shared" si="13"/>
        <v>3284.4599999999996</v>
      </c>
    </row>
    <row r="11" spans="1:18" ht="21" customHeight="1" thickBot="1" x14ac:dyDescent="0.3">
      <c r="A11" s="3" t="s">
        <v>19</v>
      </c>
      <c r="B11" s="12">
        <v>3352.7</v>
      </c>
      <c r="C11" s="12">
        <v>1918.27</v>
      </c>
      <c r="D11" s="12">
        <v>0</v>
      </c>
      <c r="E11" s="12">
        <v>0</v>
      </c>
      <c r="F11" s="12">
        <v>10825.3</v>
      </c>
      <c r="G11" s="12">
        <v>2774.42</v>
      </c>
      <c r="H11" s="12">
        <v>3486.09</v>
      </c>
      <c r="I11" s="12">
        <v>5289.66</v>
      </c>
      <c r="J11" s="12">
        <v>5896.95</v>
      </c>
      <c r="K11" s="12">
        <v>0</v>
      </c>
      <c r="L11" s="12">
        <v>6441.5</v>
      </c>
      <c r="M11" s="12">
        <v>0</v>
      </c>
      <c r="N11" s="12">
        <f t="shared" si="13"/>
        <v>39984.89</v>
      </c>
    </row>
    <row r="12" spans="1:18" ht="21" customHeight="1" thickBot="1" x14ac:dyDescent="0.3">
      <c r="A12" s="3" t="s">
        <v>25</v>
      </c>
      <c r="B12" s="12">
        <v>240.11</v>
      </c>
      <c r="C12" s="12">
        <v>240.11</v>
      </c>
      <c r="D12" s="12">
        <v>240.11</v>
      </c>
      <c r="E12" s="12">
        <v>240.11</v>
      </c>
      <c r="F12" s="12">
        <v>240.11</v>
      </c>
      <c r="G12" s="12">
        <v>240.11</v>
      </c>
      <c r="H12" s="12">
        <v>240.11</v>
      </c>
      <c r="I12" s="12">
        <v>265.02</v>
      </c>
      <c r="J12" s="12">
        <v>265.02</v>
      </c>
      <c r="K12" s="12">
        <v>265.02</v>
      </c>
      <c r="L12" s="12">
        <v>265.02</v>
      </c>
      <c r="M12" s="12">
        <v>265.02</v>
      </c>
      <c r="N12" s="12">
        <f t="shared" si="13"/>
        <v>3005.8700000000003</v>
      </c>
    </row>
    <row r="13" spans="1:18" ht="21" hidden="1" customHeight="1" thickBot="1" x14ac:dyDescent="0.3">
      <c r="A13" s="3" t="s">
        <v>29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>
        <f t="shared" si="13"/>
        <v>0</v>
      </c>
    </row>
    <row r="14" spans="1:18" ht="21" hidden="1" customHeight="1" thickBot="1" x14ac:dyDescent="0.3">
      <c r="A14" s="3" t="s">
        <v>15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>
        <f t="shared" si="13"/>
        <v>0</v>
      </c>
    </row>
    <row r="15" spans="1:18" ht="20.25" customHeight="1" thickBot="1" x14ac:dyDescent="0.3">
      <c r="A15" s="13" t="s">
        <v>8</v>
      </c>
      <c r="B15" s="14">
        <f>SUM(B16:B22)</f>
        <v>53749.53</v>
      </c>
      <c r="C15" s="14">
        <f t="shared" ref="C15:M15" si="14">SUM(C16:C22)</f>
        <v>67256.37</v>
      </c>
      <c r="D15" s="14">
        <f t="shared" si="14"/>
        <v>69033.09</v>
      </c>
      <c r="E15" s="14">
        <f t="shared" si="14"/>
        <v>65482.239999999991</v>
      </c>
      <c r="F15" s="14">
        <f t="shared" si="14"/>
        <v>58173.85</v>
      </c>
      <c r="G15" s="14">
        <f t="shared" si="14"/>
        <v>76059.5</v>
      </c>
      <c r="H15" s="14">
        <f t="shared" si="14"/>
        <v>104557.94</v>
      </c>
      <c r="I15" s="14">
        <f t="shared" si="14"/>
        <v>84693.54</v>
      </c>
      <c r="J15" s="14">
        <f t="shared" si="14"/>
        <v>107393.13000000002</v>
      </c>
      <c r="K15" s="14">
        <f t="shared" si="14"/>
        <v>102699.80000000002</v>
      </c>
      <c r="L15" s="14">
        <f t="shared" si="14"/>
        <v>91106.27</v>
      </c>
      <c r="M15" s="14">
        <f t="shared" si="14"/>
        <v>125977.11000000002</v>
      </c>
      <c r="N15" s="14">
        <f>SUM(B15:M15)</f>
        <v>1006182.37</v>
      </c>
    </row>
    <row r="16" spans="1:18" ht="24" customHeight="1" thickBot="1" x14ac:dyDescent="0.3">
      <c r="A16" s="3" t="s">
        <v>28</v>
      </c>
      <c r="B16" s="12">
        <f>48972.03+1048.41</f>
        <v>50020.44</v>
      </c>
      <c r="C16" s="12">
        <f>1431.03+62193.45</f>
        <v>63624.479999999996</v>
      </c>
      <c r="D16" s="12">
        <f>64919.08+1416.81+188.18</f>
        <v>66524.069999999992</v>
      </c>
      <c r="E16" s="12">
        <f>63692.71+1296.02</f>
        <v>64988.729999999996</v>
      </c>
      <c r="F16" s="12">
        <f>56729.43+1239.32</f>
        <v>57968.75</v>
      </c>
      <c r="G16" s="12">
        <f>64876.19+1277.14</f>
        <v>66153.33</v>
      </c>
      <c r="H16" s="12">
        <f>98446.44+1680.95+544.07</f>
        <v>100671.46</v>
      </c>
      <c r="I16" s="12">
        <f>1310.75+79936.15</f>
        <v>81246.899999999994</v>
      </c>
      <c r="J16" s="12">
        <f>99200.8+1451.57+435.66</f>
        <v>101088.03000000001</v>
      </c>
      <c r="K16" s="12">
        <f>94205+1454.95+532.77</f>
        <v>96192.72</v>
      </c>
      <c r="L16" s="12">
        <f>88291.1+1348.77+238.09</f>
        <v>89877.96</v>
      </c>
      <c r="M16" s="12">
        <f>1618.91+116648.22</f>
        <v>118267.13</v>
      </c>
      <c r="N16" s="12">
        <f>SUM(B16:M16)</f>
        <v>956624</v>
      </c>
    </row>
    <row r="17" spans="1:14" ht="24" customHeight="1" thickBot="1" x14ac:dyDescent="0.3">
      <c r="A17" s="3" t="s">
        <v>17</v>
      </c>
      <c r="B17" s="12">
        <v>0</v>
      </c>
      <c r="C17" s="12">
        <v>0</v>
      </c>
      <c r="D17" s="12">
        <v>24.71</v>
      </c>
      <c r="E17" s="12">
        <v>0</v>
      </c>
      <c r="F17" s="12">
        <v>0</v>
      </c>
      <c r="G17" s="12">
        <v>0</v>
      </c>
      <c r="H17" s="12">
        <v>3.01</v>
      </c>
      <c r="I17" s="12">
        <v>0</v>
      </c>
      <c r="J17" s="12">
        <v>2.58</v>
      </c>
      <c r="K17" s="12">
        <v>3.16</v>
      </c>
      <c r="L17" s="12">
        <v>2.38</v>
      </c>
      <c r="M17" s="12">
        <v>0</v>
      </c>
      <c r="N17" s="12">
        <f t="shared" ref="N17:N22" si="15">SUM(B17:M17)</f>
        <v>35.839999999999996</v>
      </c>
    </row>
    <row r="18" spans="1:14" ht="24" customHeight="1" thickBot="1" x14ac:dyDescent="0.3">
      <c r="A18" s="3" t="s">
        <v>18</v>
      </c>
      <c r="B18" s="12">
        <v>176.63</v>
      </c>
      <c r="C18" s="12">
        <v>227.46</v>
      </c>
      <c r="D18" s="12">
        <v>272.83999999999997</v>
      </c>
      <c r="E18" s="12">
        <v>230.56</v>
      </c>
      <c r="F18" s="12">
        <v>205.1</v>
      </c>
      <c r="G18" s="12">
        <v>249.09</v>
      </c>
      <c r="H18" s="12">
        <v>372.44</v>
      </c>
      <c r="I18" s="12">
        <v>260.95</v>
      </c>
      <c r="J18" s="12">
        <v>418.97</v>
      </c>
      <c r="K18" s="12">
        <v>421.11</v>
      </c>
      <c r="L18" s="12">
        <v>370.4</v>
      </c>
      <c r="M18" s="12">
        <v>420.72</v>
      </c>
      <c r="N18" s="12">
        <f t="shared" si="15"/>
        <v>3626.2700000000004</v>
      </c>
    </row>
    <row r="19" spans="1:14" ht="24" customHeight="1" thickBot="1" x14ac:dyDescent="0.3">
      <c r="A19" s="3" t="s">
        <v>19</v>
      </c>
      <c r="B19" s="12">
        <v>3552.46</v>
      </c>
      <c r="C19" s="12">
        <v>3404.43</v>
      </c>
      <c r="D19" s="12">
        <v>2176.85</v>
      </c>
      <c r="E19" s="12">
        <v>253.92</v>
      </c>
      <c r="F19" s="12">
        <v>0</v>
      </c>
      <c r="G19" s="12">
        <v>9607.31</v>
      </c>
      <c r="H19" s="12">
        <v>3262.14</v>
      </c>
      <c r="I19" s="12">
        <v>2983.27</v>
      </c>
      <c r="J19" s="12">
        <v>5538.41</v>
      </c>
      <c r="K19" s="12">
        <v>5732.85</v>
      </c>
      <c r="L19" s="12">
        <v>545.6</v>
      </c>
      <c r="M19" s="12">
        <v>6924.99</v>
      </c>
      <c r="N19" s="12">
        <f t="shared" si="15"/>
        <v>43982.229999999996</v>
      </c>
    </row>
    <row r="20" spans="1:14" ht="24" customHeight="1" thickBot="1" x14ac:dyDescent="0.3">
      <c r="A20" s="3" t="s">
        <v>25</v>
      </c>
      <c r="B20" s="12">
        <v>0</v>
      </c>
      <c r="C20" s="12">
        <v>0</v>
      </c>
      <c r="D20" s="12">
        <v>34.619999999999997</v>
      </c>
      <c r="E20" s="12">
        <v>9.0299999999999994</v>
      </c>
      <c r="F20" s="12">
        <v>0</v>
      </c>
      <c r="G20" s="12">
        <v>49.77</v>
      </c>
      <c r="H20" s="12">
        <v>248.89</v>
      </c>
      <c r="I20" s="12">
        <v>202.42</v>
      </c>
      <c r="J20" s="12">
        <v>345.14</v>
      </c>
      <c r="K20" s="12">
        <v>349.96</v>
      </c>
      <c r="L20" s="12">
        <v>309.93</v>
      </c>
      <c r="M20" s="12">
        <v>364.27</v>
      </c>
      <c r="N20" s="12">
        <f t="shared" si="15"/>
        <v>1914.03</v>
      </c>
    </row>
    <row r="21" spans="1:14" ht="24" hidden="1" customHeight="1" thickBot="1" x14ac:dyDescent="0.3">
      <c r="A21" s="3" t="s">
        <v>29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>
        <f t="shared" si="15"/>
        <v>0</v>
      </c>
    </row>
    <row r="22" spans="1:14" ht="24" hidden="1" customHeight="1" thickBot="1" x14ac:dyDescent="0.3">
      <c r="A22" s="3" t="s">
        <v>15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>
        <f t="shared" si="15"/>
        <v>0</v>
      </c>
    </row>
    <row r="23" spans="1:14" ht="24" customHeight="1" thickBot="1" x14ac:dyDescent="0.3">
      <c r="A23" s="4" t="s">
        <v>24</v>
      </c>
      <c r="B23" s="21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3"/>
    </row>
    <row r="24" spans="1:14" ht="24" customHeight="1" thickBot="1" x14ac:dyDescent="0.3">
      <c r="A24" s="3" t="s">
        <v>1</v>
      </c>
      <c r="B24" s="12">
        <f t="shared" ref="B24:M24" si="16">3386*0.6</f>
        <v>2031.6</v>
      </c>
      <c r="C24" s="12">
        <f t="shared" si="16"/>
        <v>2031.6</v>
      </c>
      <c r="D24" s="12">
        <f t="shared" si="16"/>
        <v>2031.6</v>
      </c>
      <c r="E24" s="12">
        <f t="shared" si="16"/>
        <v>2031.6</v>
      </c>
      <c r="F24" s="12">
        <f t="shared" si="16"/>
        <v>2031.6</v>
      </c>
      <c r="G24" s="12">
        <f t="shared" si="16"/>
        <v>2031.6</v>
      </c>
      <c r="H24" s="12">
        <f t="shared" si="16"/>
        <v>2031.6</v>
      </c>
      <c r="I24" s="12">
        <f t="shared" si="16"/>
        <v>2031.6</v>
      </c>
      <c r="J24" s="12">
        <f t="shared" si="16"/>
        <v>2031.6</v>
      </c>
      <c r="K24" s="12">
        <f t="shared" si="16"/>
        <v>2031.6</v>
      </c>
      <c r="L24" s="12">
        <f t="shared" si="16"/>
        <v>2031.6</v>
      </c>
      <c r="M24" s="12">
        <f t="shared" si="16"/>
        <v>2031.6</v>
      </c>
      <c r="N24" s="12">
        <f t="shared" ref="N24:N37" si="17">SUM(B24:M24)</f>
        <v>24379.199999999997</v>
      </c>
    </row>
    <row r="25" spans="1:14" ht="24" customHeight="1" thickBot="1" x14ac:dyDescent="0.3">
      <c r="A25" s="3" t="s">
        <v>2</v>
      </c>
      <c r="B25" s="12">
        <f t="shared" ref="B25" si="18">3386*0.17</f>
        <v>575.62</v>
      </c>
      <c r="C25" s="12">
        <f>3386*0.2</f>
        <v>677.2</v>
      </c>
      <c r="D25" s="12">
        <f>3386*0.2</f>
        <v>677.2</v>
      </c>
      <c r="E25" s="12">
        <f t="shared" ref="E25:M25" si="19">3386*0.2</f>
        <v>677.2</v>
      </c>
      <c r="F25" s="12">
        <f t="shared" si="19"/>
        <v>677.2</v>
      </c>
      <c r="G25" s="12">
        <f t="shared" si="19"/>
        <v>677.2</v>
      </c>
      <c r="H25" s="12">
        <f t="shared" si="19"/>
        <v>677.2</v>
      </c>
      <c r="I25" s="12">
        <f t="shared" si="19"/>
        <v>677.2</v>
      </c>
      <c r="J25" s="12">
        <f t="shared" si="19"/>
        <v>677.2</v>
      </c>
      <c r="K25" s="12">
        <f t="shared" si="19"/>
        <v>677.2</v>
      </c>
      <c r="L25" s="12">
        <f t="shared" si="19"/>
        <v>677.2</v>
      </c>
      <c r="M25" s="12">
        <f t="shared" si="19"/>
        <v>677.2</v>
      </c>
      <c r="N25" s="12">
        <f t="shared" si="17"/>
        <v>8024.8199999999988</v>
      </c>
    </row>
    <row r="26" spans="1:14" ht="24" customHeight="1" thickBot="1" x14ac:dyDescent="0.3">
      <c r="A26" s="3" t="s">
        <v>3</v>
      </c>
      <c r="B26" s="12">
        <f>70061.26*2.3%</f>
        <v>1611.4089799999999</v>
      </c>
      <c r="C26" s="12">
        <f>68626.83*2.6%</f>
        <v>1784.2975800000002</v>
      </c>
      <c r="D26" s="12">
        <f>66708.56*2.6%</f>
        <v>1734.4225600000002</v>
      </c>
      <c r="E26" s="12">
        <f>66708.56*2.6%</f>
        <v>1734.4225600000002</v>
      </c>
      <c r="F26" s="12">
        <f>77533.86*2.6%</f>
        <v>2015.8803600000001</v>
      </c>
      <c r="G26" s="12">
        <f>97755.88*2.6%</f>
        <v>2541.6528800000006</v>
      </c>
      <c r="H26" s="12">
        <f>98538.88*2.6%</f>
        <v>2562.0108800000003</v>
      </c>
      <c r="I26" s="12">
        <f>100367.36*2.6%</f>
        <v>2609.5513600000004</v>
      </c>
      <c r="J26" s="12">
        <f>100974.65*2.6%</f>
        <v>2625.3409000000001</v>
      </c>
      <c r="K26" s="12">
        <f>95077.7*2.6%</f>
        <v>2472.0201999999999</v>
      </c>
      <c r="L26" s="12">
        <f>101519.2*2.6%</f>
        <v>2639.4992000000002</v>
      </c>
      <c r="M26" s="12">
        <f>95077.7*2.6%</f>
        <v>2472.0201999999999</v>
      </c>
      <c r="N26" s="12">
        <f t="shared" si="17"/>
        <v>26802.52766</v>
      </c>
    </row>
    <row r="27" spans="1:14" ht="24" customHeight="1" thickBot="1" x14ac:dyDescent="0.3">
      <c r="A27" s="3" t="s">
        <v>4</v>
      </c>
      <c r="B27" s="12">
        <f>53749.53*3%</f>
        <v>1612.4858999999999</v>
      </c>
      <c r="C27" s="12">
        <f>67256.37*3%</f>
        <v>2017.6910999999998</v>
      </c>
      <c r="D27" s="12">
        <f>69033.09*3%</f>
        <v>2070.9926999999998</v>
      </c>
      <c r="E27" s="12">
        <f>65482.24*3%</f>
        <v>1964.4671999999998</v>
      </c>
      <c r="F27" s="12">
        <f>58173.85*3%</f>
        <v>1745.2154999999998</v>
      </c>
      <c r="G27" s="12">
        <f>76059.5*3%</f>
        <v>2281.7849999999999</v>
      </c>
      <c r="H27" s="12">
        <f>104557.94*3%</f>
        <v>3136.7381999999998</v>
      </c>
      <c r="I27" s="12">
        <f>84693.54*3%</f>
        <v>2540.8061999999995</v>
      </c>
      <c r="J27" s="12">
        <f>107393.13*3%</f>
        <v>3221.7939000000001</v>
      </c>
      <c r="K27" s="12">
        <f>102699.8*3%</f>
        <v>3080.9940000000001</v>
      </c>
      <c r="L27" s="12">
        <f>91106.27*3%</f>
        <v>2733.1880999999998</v>
      </c>
      <c r="M27" s="12">
        <f>125977.11*3%</f>
        <v>3779.3132999999998</v>
      </c>
      <c r="N27" s="12">
        <f t="shared" si="17"/>
        <v>30185.471099999995</v>
      </c>
    </row>
    <row r="28" spans="1:14" ht="24" customHeight="1" thickBot="1" x14ac:dyDescent="0.3">
      <c r="A28" s="3" t="s">
        <v>9</v>
      </c>
      <c r="B28" s="12">
        <f>3386*12</f>
        <v>40632</v>
      </c>
      <c r="C28" s="12">
        <f t="shared" ref="C28:M28" si="20">3386*12</f>
        <v>40632</v>
      </c>
      <c r="D28" s="12">
        <f t="shared" si="20"/>
        <v>40632</v>
      </c>
      <c r="E28" s="12">
        <f t="shared" si="20"/>
        <v>40632</v>
      </c>
      <c r="F28" s="12">
        <f t="shared" si="20"/>
        <v>40632</v>
      </c>
      <c r="G28" s="12">
        <f t="shared" si="20"/>
        <v>40632</v>
      </c>
      <c r="H28" s="12">
        <f t="shared" si="20"/>
        <v>40632</v>
      </c>
      <c r="I28" s="12">
        <f t="shared" si="20"/>
        <v>40632</v>
      </c>
      <c r="J28" s="12">
        <f t="shared" si="20"/>
        <v>40632</v>
      </c>
      <c r="K28" s="12">
        <f t="shared" si="20"/>
        <v>40632</v>
      </c>
      <c r="L28" s="12">
        <f t="shared" si="20"/>
        <v>40632</v>
      </c>
      <c r="M28" s="12">
        <f t="shared" si="20"/>
        <v>40632</v>
      </c>
      <c r="N28" s="12">
        <f t="shared" si="17"/>
        <v>487584</v>
      </c>
    </row>
    <row r="29" spans="1:14" ht="24" customHeight="1" thickBot="1" x14ac:dyDescent="0.3">
      <c r="A29" s="3" t="s">
        <v>20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f t="shared" si="17"/>
        <v>0</v>
      </c>
    </row>
    <row r="30" spans="1:14" ht="24" customHeight="1" thickBot="1" x14ac:dyDescent="0.3">
      <c r="A30" s="3" t="s">
        <v>21</v>
      </c>
      <c r="B30" s="12">
        <v>357.09</v>
      </c>
      <c r="C30" s="12">
        <v>357.09</v>
      </c>
      <c r="D30" s="12">
        <v>357.09</v>
      </c>
      <c r="E30" s="12">
        <v>357.09</v>
      </c>
      <c r="F30" s="12">
        <v>357.09</v>
      </c>
      <c r="G30" s="12">
        <v>357.09</v>
      </c>
      <c r="H30" s="12">
        <v>464.22</v>
      </c>
      <c r="I30" s="12">
        <v>464.22</v>
      </c>
      <c r="J30" s="12">
        <v>464.22</v>
      </c>
      <c r="K30" s="12">
        <v>464.22</v>
      </c>
      <c r="L30" s="12">
        <v>464.22</v>
      </c>
      <c r="M30" s="12">
        <v>464.22</v>
      </c>
      <c r="N30" s="12">
        <f t="shared" si="17"/>
        <v>4927.8600000000015</v>
      </c>
    </row>
    <row r="31" spans="1:14" ht="24" customHeight="1" thickBot="1" x14ac:dyDescent="0.3">
      <c r="A31" s="3" t="s">
        <v>22</v>
      </c>
      <c r="B31" s="12">
        <v>1918.19</v>
      </c>
      <c r="C31" s="12">
        <v>0</v>
      </c>
      <c r="D31" s="12">
        <v>0</v>
      </c>
      <c r="E31" s="12">
        <v>10825.32</v>
      </c>
      <c r="F31" s="12">
        <v>2774.44</v>
      </c>
      <c r="G31" s="12">
        <v>3486.12</v>
      </c>
      <c r="H31" s="12">
        <v>5289.7</v>
      </c>
      <c r="I31" s="12">
        <v>5896.92</v>
      </c>
      <c r="J31" s="12">
        <v>0</v>
      </c>
      <c r="K31" s="12">
        <v>0</v>
      </c>
      <c r="L31" s="12">
        <v>0</v>
      </c>
      <c r="M31" s="12">
        <v>857.62</v>
      </c>
      <c r="N31" s="12">
        <f t="shared" si="17"/>
        <v>31048.31</v>
      </c>
    </row>
    <row r="32" spans="1:14" ht="20.25" customHeight="1" thickBot="1" x14ac:dyDescent="0.3">
      <c r="A32" s="3" t="s">
        <v>25</v>
      </c>
      <c r="B32" s="12">
        <f>240.18+0</f>
        <v>240.18</v>
      </c>
      <c r="C32" s="12">
        <f t="shared" ref="C32:G32" si="21">240.18+0</f>
        <v>240.18</v>
      </c>
      <c r="D32" s="12">
        <f t="shared" si="21"/>
        <v>240.18</v>
      </c>
      <c r="E32" s="12">
        <f t="shared" si="21"/>
        <v>240.18</v>
      </c>
      <c r="F32" s="12">
        <f t="shared" si="21"/>
        <v>240.18</v>
      </c>
      <c r="G32" s="12">
        <f t="shared" si="21"/>
        <v>240.18</v>
      </c>
      <c r="H32" s="12">
        <f>265.07+0</f>
        <v>265.07</v>
      </c>
      <c r="I32" s="12">
        <f t="shared" ref="I32:M32" si="22">265.07+0</f>
        <v>265.07</v>
      </c>
      <c r="J32" s="12">
        <f t="shared" si="22"/>
        <v>265.07</v>
      </c>
      <c r="K32" s="12">
        <f t="shared" si="22"/>
        <v>265.07</v>
      </c>
      <c r="L32" s="12">
        <f t="shared" si="22"/>
        <v>265.07</v>
      </c>
      <c r="M32" s="12">
        <f t="shared" si="22"/>
        <v>265.07</v>
      </c>
      <c r="N32" s="12">
        <f t="shared" si="17"/>
        <v>3031.5000000000005</v>
      </c>
    </row>
    <row r="33" spans="1:14" ht="21" customHeight="1" thickBot="1" x14ac:dyDescent="0.3">
      <c r="A33" s="3" t="s">
        <v>6</v>
      </c>
      <c r="B33" s="12">
        <f t="shared" ref="B33:F33" si="23">3386*2.87</f>
        <v>9717.82</v>
      </c>
      <c r="C33" s="12">
        <f t="shared" si="23"/>
        <v>9717.82</v>
      </c>
      <c r="D33" s="12">
        <f t="shared" si="23"/>
        <v>9717.82</v>
      </c>
      <c r="E33" s="12">
        <f t="shared" si="23"/>
        <v>9717.82</v>
      </c>
      <c r="F33" s="12">
        <f t="shared" si="23"/>
        <v>9717.82</v>
      </c>
      <c r="G33" s="12">
        <f>3386*4.13</f>
        <v>13984.18</v>
      </c>
      <c r="H33" s="12">
        <f t="shared" ref="H33:M33" si="24">3386*4.13</f>
        <v>13984.18</v>
      </c>
      <c r="I33" s="12">
        <f t="shared" si="24"/>
        <v>13984.18</v>
      </c>
      <c r="J33" s="12">
        <f t="shared" si="24"/>
        <v>13984.18</v>
      </c>
      <c r="K33" s="12">
        <f t="shared" si="24"/>
        <v>13984.18</v>
      </c>
      <c r="L33" s="12">
        <f t="shared" si="24"/>
        <v>13984.18</v>
      </c>
      <c r="M33" s="12">
        <f t="shared" si="24"/>
        <v>13984.18</v>
      </c>
      <c r="N33" s="12">
        <f t="shared" si="17"/>
        <v>146478.35999999996</v>
      </c>
    </row>
    <row r="34" spans="1:14" ht="23.4" hidden="1" customHeight="1" thickBot="1" x14ac:dyDescent="0.3">
      <c r="A34" s="5" t="s">
        <v>29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2">
        <f t="shared" si="17"/>
        <v>0</v>
      </c>
    </row>
    <row r="35" spans="1:14" ht="23.4" customHeight="1" thickBot="1" x14ac:dyDescent="0.3">
      <c r="A35" s="3" t="s">
        <v>26</v>
      </c>
      <c r="B35" s="12">
        <v>1000</v>
      </c>
      <c r="C35" s="12">
        <v>1000</v>
      </c>
      <c r="D35" s="12">
        <v>1000</v>
      </c>
      <c r="E35" s="12">
        <v>1000</v>
      </c>
      <c r="F35" s="12">
        <v>1000</v>
      </c>
      <c r="G35" s="12">
        <v>850</v>
      </c>
      <c r="H35" s="12">
        <v>850</v>
      </c>
      <c r="I35" s="12">
        <v>850</v>
      </c>
      <c r="J35" s="12">
        <v>850</v>
      </c>
      <c r="K35" s="12">
        <v>1000</v>
      </c>
      <c r="L35" s="12">
        <v>1000</v>
      </c>
      <c r="M35" s="12">
        <v>1000</v>
      </c>
      <c r="N35" s="12">
        <f t="shared" si="17"/>
        <v>11400</v>
      </c>
    </row>
    <row r="36" spans="1:14" ht="23.4" customHeight="1" thickBot="1" x14ac:dyDescent="0.3">
      <c r="A36" s="3" t="s">
        <v>14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21857.17</v>
      </c>
      <c r="L36" s="12">
        <v>0</v>
      </c>
      <c r="M36" s="12">
        <v>0</v>
      </c>
      <c r="N36" s="12">
        <f t="shared" si="17"/>
        <v>21857.17</v>
      </c>
    </row>
    <row r="37" spans="1:14" ht="21" customHeight="1" thickBot="1" x14ac:dyDescent="0.3">
      <c r="A37" s="3" t="s">
        <v>10</v>
      </c>
      <c r="B37" s="12">
        <f>210</f>
        <v>210</v>
      </c>
      <c r="C37" s="12">
        <f>10800.4+105</f>
        <v>10905.4</v>
      </c>
      <c r="D37" s="12">
        <v>0</v>
      </c>
      <c r="E37" s="12">
        <f>6107.7</f>
        <v>6107.7</v>
      </c>
      <c r="F37" s="12">
        <v>0</v>
      </c>
      <c r="G37" s="12">
        <f>105+7500</f>
        <v>7605</v>
      </c>
      <c r="H37" s="12">
        <f>10315.4+15407.1+98120</f>
        <v>123842.5</v>
      </c>
      <c r="I37" s="12">
        <v>0</v>
      </c>
      <c r="J37" s="12">
        <f>20115.6</f>
        <v>20115.599999999999</v>
      </c>
      <c r="K37" s="12">
        <f>2172.5</f>
        <v>2172.5</v>
      </c>
      <c r="L37" s="12">
        <f>32000</f>
        <v>32000</v>
      </c>
      <c r="M37" s="12">
        <f>105</f>
        <v>105</v>
      </c>
      <c r="N37" s="12">
        <f t="shared" si="17"/>
        <v>203063.7</v>
      </c>
    </row>
    <row r="38" spans="1:14" ht="22.5" customHeight="1" thickBot="1" x14ac:dyDescent="0.3">
      <c r="A38" s="10" t="s">
        <v>23</v>
      </c>
      <c r="B38" s="11">
        <f t="shared" ref="B38:M38" si="25">SUM(B24:B37)</f>
        <v>59906.39488</v>
      </c>
      <c r="C38" s="11">
        <f t="shared" si="25"/>
        <v>69363.278679999989</v>
      </c>
      <c r="D38" s="11">
        <f t="shared" si="25"/>
        <v>58461.305259999994</v>
      </c>
      <c r="E38" s="11">
        <f t="shared" si="25"/>
        <v>75287.799759999994</v>
      </c>
      <c r="F38" s="11">
        <f t="shared" si="25"/>
        <v>61191.425860000003</v>
      </c>
      <c r="G38" s="11">
        <f t="shared" si="25"/>
        <v>74686.807880000008</v>
      </c>
      <c r="H38" s="11">
        <f t="shared" si="25"/>
        <v>193735.21908000001</v>
      </c>
      <c r="I38" s="11">
        <f t="shared" si="25"/>
        <v>69951.547560000006</v>
      </c>
      <c r="J38" s="11">
        <f t="shared" si="25"/>
        <v>84867.004799999995</v>
      </c>
      <c r="K38" s="11">
        <f t="shared" si="25"/>
        <v>88636.954200000007</v>
      </c>
      <c r="L38" s="11">
        <f t="shared" si="25"/>
        <v>96426.957300000009</v>
      </c>
      <c r="M38" s="11">
        <f t="shared" si="25"/>
        <v>66268.223499999993</v>
      </c>
      <c r="N38" s="11">
        <f>SUM(B38:M38)</f>
        <v>998782.91875999991</v>
      </c>
    </row>
    <row r="39" spans="1:14" ht="23.25" customHeight="1" thickBot="1" x14ac:dyDescent="0.3">
      <c r="A39" s="3" t="s">
        <v>5</v>
      </c>
      <c r="B39" s="16">
        <f t="shared" ref="B39:N39" si="26">B15-B38</f>
        <v>-6156.864880000001</v>
      </c>
      <c r="C39" s="16">
        <f t="shared" si="26"/>
        <v>-2106.9086799999932</v>
      </c>
      <c r="D39" s="16">
        <f t="shared" si="26"/>
        <v>10571.784740000003</v>
      </c>
      <c r="E39" s="16">
        <f t="shared" si="26"/>
        <v>-9805.5597600000037</v>
      </c>
      <c r="F39" s="16">
        <f t="shared" si="26"/>
        <v>-3017.5758600000045</v>
      </c>
      <c r="G39" s="16">
        <f t="shared" si="26"/>
        <v>1372.6921199999924</v>
      </c>
      <c r="H39" s="16">
        <f t="shared" si="26"/>
        <v>-89177.279080000008</v>
      </c>
      <c r="I39" s="16">
        <f t="shared" si="26"/>
        <v>14741.992439999987</v>
      </c>
      <c r="J39" s="16">
        <f t="shared" si="26"/>
        <v>22526.125200000024</v>
      </c>
      <c r="K39" s="16">
        <f t="shared" si="26"/>
        <v>14062.84580000001</v>
      </c>
      <c r="L39" s="16">
        <f t="shared" si="26"/>
        <v>-5320.6873000000051</v>
      </c>
      <c r="M39" s="16">
        <f t="shared" si="26"/>
        <v>59708.886500000022</v>
      </c>
      <c r="N39" s="12">
        <f t="shared" si="26"/>
        <v>7399.4512400000822</v>
      </c>
    </row>
    <row r="40" spans="1:14" ht="23.25" customHeight="1" thickBot="1" x14ac:dyDescent="0.3">
      <c r="A40" s="3" t="s">
        <v>7</v>
      </c>
      <c r="B40" s="17">
        <f t="shared" ref="B40:M40" si="27">B5+B39</f>
        <v>-553506.63488000003</v>
      </c>
      <c r="C40" s="17">
        <f t="shared" si="27"/>
        <v>-555613.54356000002</v>
      </c>
      <c r="D40" s="17">
        <f t="shared" si="27"/>
        <v>-545041.75881999999</v>
      </c>
      <c r="E40" s="17">
        <f t="shared" si="27"/>
        <v>-554847.31857999996</v>
      </c>
      <c r="F40" s="17">
        <f t="shared" si="27"/>
        <v>-557864.89443999995</v>
      </c>
      <c r="G40" s="17">
        <f t="shared" si="27"/>
        <v>-556492.20231999992</v>
      </c>
      <c r="H40" s="17">
        <f t="shared" si="27"/>
        <v>-645669.48139999993</v>
      </c>
      <c r="I40" s="17">
        <f t="shared" si="27"/>
        <v>-630927.48895999999</v>
      </c>
      <c r="J40" s="17">
        <f t="shared" si="27"/>
        <v>-608401.36375999998</v>
      </c>
      <c r="K40" s="17">
        <f t="shared" si="27"/>
        <v>-594338.51795999997</v>
      </c>
      <c r="L40" s="17">
        <f t="shared" si="27"/>
        <v>-599659.20525999996</v>
      </c>
      <c r="M40" s="17">
        <f t="shared" si="27"/>
        <v>-539950.31875999994</v>
      </c>
      <c r="N40" s="17">
        <f>N5-N38+N15</f>
        <v>-539950.31875999982</v>
      </c>
    </row>
    <row r="41" spans="1:14" ht="23.25" customHeight="1" thickBot="1" x14ac:dyDescent="0.3">
      <c r="A41" s="3" t="s">
        <v>43</v>
      </c>
      <c r="B41" s="12">
        <v>0</v>
      </c>
      <c r="C41" s="12">
        <v>0</v>
      </c>
      <c r="D41" s="12">
        <v>3402.46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7">
        <f>SUM(B41:M41)</f>
        <v>3402.46</v>
      </c>
    </row>
    <row r="42" spans="1:14" ht="27" customHeight="1" thickBot="1" x14ac:dyDescent="0.3">
      <c r="A42" s="4" t="s">
        <v>11</v>
      </c>
      <c r="B42" s="18">
        <f>B6+B15-B7</f>
        <v>-239559.90000000002</v>
      </c>
      <c r="C42" s="18">
        <f t="shared" ref="C42" si="28">C6+C15-C7</f>
        <v>-240930.36000000004</v>
      </c>
      <c r="D42" s="18">
        <f>D6+D15-D7+D41</f>
        <v>-235203.37000000005</v>
      </c>
      <c r="E42" s="18">
        <f t="shared" ref="E42:N42" si="29">E6+E15-E7+E41</f>
        <v>-236429.69000000006</v>
      </c>
      <c r="F42" s="18">
        <f t="shared" si="29"/>
        <v>-255789.70000000007</v>
      </c>
      <c r="G42" s="18">
        <f t="shared" si="29"/>
        <v>-277486.08000000007</v>
      </c>
      <c r="H42" s="18">
        <f t="shared" si="29"/>
        <v>-271467.02000000008</v>
      </c>
      <c r="I42" s="18">
        <f t="shared" si="29"/>
        <v>-287140.84000000008</v>
      </c>
      <c r="J42" s="18">
        <f t="shared" si="29"/>
        <v>-280722.3600000001</v>
      </c>
      <c r="K42" s="18">
        <f t="shared" si="29"/>
        <v>-273100.26000000007</v>
      </c>
      <c r="L42" s="18">
        <f t="shared" si="29"/>
        <v>-283513.19000000006</v>
      </c>
      <c r="M42" s="18">
        <f t="shared" si="29"/>
        <v>-252613.78000000003</v>
      </c>
      <c r="N42" s="18">
        <f t="shared" si="29"/>
        <v>-252613.77999999988</v>
      </c>
    </row>
  </sheetData>
  <mergeCells count="2">
    <mergeCell ref="A1:N1"/>
    <mergeCell ref="B23:N23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2026-02-16T03:26:37Z</cp:lastPrinted>
  <dcterms:created xsi:type="dcterms:W3CDTF">2011-06-06T03:25:48Z</dcterms:created>
  <dcterms:modified xsi:type="dcterms:W3CDTF">2026-02-16T03:33:46Z</dcterms:modified>
</cp:coreProperties>
</file>