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7" yWindow="159" windowWidth="17491" windowHeight="1092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K22" i="1"/>
  <c r="L22"/>
  <c r="M22"/>
  <c r="K14"/>
  <c r="L14"/>
  <c r="M14"/>
  <c r="K37"/>
  <c r="L37"/>
  <c r="K32"/>
  <c r="L32"/>
  <c r="M32"/>
  <c r="M27"/>
  <c r="M16"/>
  <c r="M26"/>
  <c r="M8"/>
  <c r="L27"/>
  <c r="L16"/>
  <c r="L26"/>
  <c r="L8"/>
  <c r="K27"/>
  <c r="K16"/>
  <c r="K26"/>
  <c r="K8"/>
  <c r="K34"/>
  <c r="L34"/>
  <c r="M34"/>
  <c r="K28"/>
  <c r="L28"/>
  <c r="M28"/>
  <c r="K25"/>
  <c r="L25"/>
  <c r="M25"/>
  <c r="K24"/>
  <c r="L24"/>
  <c r="M24"/>
  <c r="H22"/>
  <c r="I22"/>
  <c r="J22"/>
  <c r="H14"/>
  <c r="I14"/>
  <c r="J14"/>
  <c r="C22"/>
  <c r="D22"/>
  <c r="E22"/>
  <c r="F22"/>
  <c r="G22"/>
  <c r="B22"/>
  <c r="C14"/>
  <c r="D14"/>
  <c r="E14"/>
  <c r="F14"/>
  <c r="G14"/>
  <c r="B14"/>
  <c r="I32"/>
  <c r="J32"/>
  <c r="H32"/>
  <c r="I37"/>
  <c r="J27"/>
  <c r="J26"/>
  <c r="J8"/>
  <c r="J16"/>
  <c r="I27"/>
  <c r="I16"/>
  <c r="I26"/>
  <c r="I8"/>
  <c r="H37"/>
  <c r="H27"/>
  <c r="H16"/>
  <c r="H26"/>
  <c r="H8"/>
  <c r="H28"/>
  <c r="I28"/>
  <c r="J28"/>
  <c r="H25"/>
  <c r="I25"/>
  <c r="J25"/>
  <c r="H24"/>
  <c r="I24"/>
  <c r="J24"/>
  <c r="J34"/>
  <c r="H34"/>
  <c r="I34"/>
  <c r="E32"/>
  <c r="F32"/>
  <c r="G32"/>
  <c r="G37"/>
  <c r="F37"/>
  <c r="E37"/>
  <c r="G27"/>
  <c r="G16"/>
  <c r="G26"/>
  <c r="G8"/>
  <c r="F27"/>
  <c r="F16"/>
  <c r="F26"/>
  <c r="F8"/>
  <c r="E27"/>
  <c r="E16"/>
  <c r="E26"/>
  <c r="E8"/>
  <c r="E34"/>
  <c r="F34"/>
  <c r="G34"/>
  <c r="E28"/>
  <c r="F28"/>
  <c r="G28"/>
  <c r="E25"/>
  <c r="F25"/>
  <c r="G25"/>
  <c r="E24"/>
  <c r="F24"/>
  <c r="G24"/>
  <c r="C32"/>
  <c r="D32"/>
  <c r="B32"/>
  <c r="C37"/>
  <c r="B7"/>
  <c r="B15"/>
  <c r="B42"/>
  <c r="C6"/>
  <c r="C7"/>
  <c r="C15"/>
  <c r="C42"/>
  <c r="D6"/>
  <c r="D7"/>
  <c r="D15"/>
  <c r="D42"/>
  <c r="E6"/>
  <c r="E7"/>
  <c r="E15"/>
  <c r="E42"/>
  <c r="F6"/>
  <c r="F7"/>
  <c r="F15"/>
  <c r="F42"/>
  <c r="G6"/>
  <c r="G7"/>
  <c r="G15"/>
  <c r="G42"/>
  <c r="H6"/>
  <c r="H7"/>
  <c r="H15"/>
  <c r="H42"/>
  <c r="I6"/>
  <c r="I7"/>
  <c r="I15"/>
  <c r="I42"/>
  <c r="J6"/>
  <c r="J15"/>
  <c r="J7"/>
  <c r="J42"/>
  <c r="K6"/>
  <c r="K7"/>
  <c r="K15"/>
  <c r="K42"/>
  <c r="L6"/>
  <c r="L7"/>
  <c r="L15"/>
  <c r="L42"/>
  <c r="M6"/>
  <c r="M7"/>
  <c r="M15"/>
  <c r="M42"/>
  <c r="N7"/>
  <c r="N15"/>
  <c r="N42"/>
  <c r="D26"/>
  <c r="C28"/>
  <c r="D28"/>
  <c r="B28"/>
  <c r="C26"/>
  <c r="D25"/>
  <c r="C25"/>
  <c r="D27"/>
  <c r="D16"/>
  <c r="D8"/>
  <c r="N41"/>
  <c r="C34"/>
  <c r="D34"/>
  <c r="B34"/>
  <c r="B25"/>
  <c r="C24"/>
  <c r="D24"/>
  <c r="B24"/>
  <c r="C27"/>
  <c r="C16"/>
  <c r="C8"/>
  <c r="B27"/>
  <c r="B16"/>
  <c r="B26"/>
  <c r="B8"/>
  <c r="N14"/>
  <c r="N6"/>
  <c r="N5"/>
  <c r="N8"/>
  <c r="N24"/>
  <c r="N25"/>
  <c r="N28"/>
  <c r="N29"/>
  <c r="N30"/>
  <c r="N31"/>
  <c r="N32"/>
  <c r="N33"/>
  <c r="N34"/>
  <c r="N35"/>
  <c r="N36"/>
  <c r="N37"/>
  <c r="N17"/>
  <c r="N18"/>
  <c r="N19"/>
  <c r="N20"/>
  <c r="N21"/>
  <c r="N22"/>
  <c r="N16"/>
  <c r="N9"/>
  <c r="N10"/>
  <c r="N11"/>
  <c r="N12"/>
  <c r="N13"/>
  <c r="M38"/>
  <c r="M39"/>
  <c r="L38"/>
  <c r="L39"/>
  <c r="N27"/>
  <c r="K38"/>
  <c r="D38"/>
  <c r="D39"/>
  <c r="G38"/>
  <c r="G39"/>
  <c r="J38"/>
  <c r="J39"/>
  <c r="K39"/>
  <c r="I38"/>
  <c r="I39"/>
  <c r="H38"/>
  <c r="H39"/>
  <c r="N26"/>
  <c r="B38"/>
  <c r="B39"/>
  <c r="B40"/>
  <c r="E38"/>
  <c r="F38"/>
  <c r="F39"/>
  <c r="E39"/>
  <c r="C38"/>
  <c r="C5"/>
  <c r="N38"/>
  <c r="C39"/>
  <c r="C40"/>
  <c r="D5"/>
  <c r="D40"/>
  <c r="N39"/>
  <c r="N40"/>
  <c r="E5"/>
  <c r="E40"/>
  <c r="F5"/>
  <c r="F40"/>
  <c r="G5"/>
  <c r="G40"/>
  <c r="H5"/>
  <c r="H40"/>
  <c r="I5"/>
  <c r="I40"/>
  <c r="J5"/>
  <c r="J40"/>
  <c r="K5"/>
  <c r="K40"/>
  <c r="L5"/>
  <c r="L40"/>
  <c r="M5"/>
  <c r="M40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<sst xmlns="http://schemas.openxmlformats.org/spreadsheetml/2006/main" count="53" uniqueCount="45">
  <si>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</si>
  <si>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</si>
  <si>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</si>
  <si>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</si>
  <si>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</si>
  <si>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</si>
  <si>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</si>
  <si>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</si>
  <si>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</si>
  <si>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</si>
  <si>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</si>
  <si>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</si>
  <si>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</si>
  <si>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</si>
  <si>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</si>
  <si>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</si>
  <si>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</si>
  <si>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</si>
  <si>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</si>
  <si>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</si>
  <si>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</si>
  <si>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</si>
  <si>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</si>
  <si>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</si>
  <si>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</si>
  <si>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</si>
  <si>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</si>
  <si>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>Вознаграждение, координация с советом МКД</t>
  </si>
  <si>
    <t xml:space="preserve">Содержание жилья и текущий ремонт,  ОПУ </t>
  </si>
  <si>
    <t>Содержание жилья и текущий ремонт,  ОПУ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</si>
  <si>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</si>
  <si>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</si>
  <si>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</si>
  <si>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</si>
  <si>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</si>
  <si>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</si>
  <si>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</si>
  <si>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</si>
  <si>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</si>
  <si>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</si>
  <si>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</si>
  <si>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</si>
  <si>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</si>
  <si>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</si>
  <si>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 xml:space="preserve">                 ОТЧЕТ по дому Липового, 80 за период 01.01.2025г. по 31.12.2025г.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</si>
</sst>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8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topLeftCell="A23" zoomScale="75" workbookViewId="0">
      <selection activeCell="A23" sqref="A1:H1048576"/>
    </sheetView>
  </sheetViews>
  <sheetFormatPr defaultRowHeight="12.55"/>
  <cols>
    <col min="1" max="1" width="58.625" customWidth="1"/>
    <col min="2" max="2" width="14.125" customWidth="1"/>
    <col min="3" max="3" width="13.5" customWidth="1"/>
    <col min="4" max="4" width="14.375" customWidth="1"/>
    <col min="5" max="5" width="13.5" customWidth="1"/>
    <col min="6" max="6" width="13.625" customWidth="1"/>
    <col min="7" max="7" width="13.875" customWidth="1"/>
    <col min="8" max="8" width="14.5" customWidth="1"/>
    <col min="9" max="13" width="13.875" customWidth="1"/>
    <col min="14" max="14" width="15.875" customWidth="1"/>
  </cols>
  <sheetData>
    <row r="1" spans="1:18" ht="20.350000000000001" customHeight="1">
      <c r="A1" s="19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7.45" customHeight="1" thickBot="1">
      <c r="A2" s="1"/>
      <c r="R2" s="2"/>
    </row>
    <row r="3" spans="1:18" ht="3" hidden="1" customHeight="1" thickBot="1">
      <c r="A3" s="1"/>
    </row>
    <row r="4" spans="1:18" ht="38.35" customHeight="1" thickBot="1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3" customHeight="1" thickBot="1">
      <c r="A5" s="8" t="s">
        <v>16</v>
      </c>
      <c r="B5" s="9">
        <v>167077.12</v>
      </c>
      <c r="C5" s="9">
        <f t="shared" ref="C5:D5" si="0">B40</f>
        <v>173403.05149000001</v>
      </c>
      <c r="D5" s="9">
        <f t="shared" si="0"/>
        <v>182766.98537000001</v>
      </c>
      <c r="E5" s="9">
        <f t="shared" ref="E5" si="1">D40</f>
        <v>196630.03865</v>
      </c>
      <c r="F5" s="9">
        <f t="shared" ref="F5" si="2">E40</f>
        <v>174324.26442999998</v>
      </c>
      <c r="G5" s="9">
        <f t="shared" ref="G5" si="3">F40</f>
        <v>177225.80318999998</v>
      </c>
      <c r="H5" s="9">
        <f t="shared" ref="H5" si="4">G40</f>
        <v>208145.33626999997</v>
      </c>
      <c r="I5" s="9">
        <f t="shared" ref="I5" si="5">H40</f>
        <v>234497.07548999996</v>
      </c>
      <c r="J5" s="9">
        <f t="shared" ref="J5" si="6">I40</f>
        <v>221870.13280999995</v>
      </c>
      <c r="K5" s="9">
        <f t="shared" ref="K5" si="7">J40</f>
        <v>234103.61934999994</v>
      </c>
      <c r="L5" s="9">
        <f t="shared" ref="L5" si="8">K40</f>
        <v>42148.637229999935</v>
      </c>
      <c r="M5" s="9">
        <f t="shared" ref="M5" si="9">L40</f>
        <v>15134.733709999928</v>
      </c>
      <c r="N5" s="9">
        <f>B5</f>
        <v>167077.12</v>
      </c>
    </row>
    <row r="6" spans="1:18" ht="21" customHeight="1" thickBot="1">
      <c r="A6" s="8" t="s">
        <v>13</v>
      </c>
      <c r="B6" s="9">
        <v>-208303.06</v>
      </c>
      <c r="C6" s="9">
        <f t="shared" ref="C6:M6" si="10">B42</f>
        <v>-215103.18</v>
      </c>
      <c r="D6" s="9">
        <f t="shared" si="10"/>
        <v>-218341</v>
      </c>
      <c r="E6" s="9">
        <f t="shared" si="10"/>
        <v>-202449.81999999998</v>
      </c>
      <c r="F6" s="9">
        <f t="shared" si="10"/>
        <v>-208905.37</v>
      </c>
      <c r="G6" s="9">
        <f t="shared" si="10"/>
        <v>-237669.55</v>
      </c>
      <c r="H6" s="9">
        <f t="shared" si="10"/>
        <v>-214141.76999999996</v>
      </c>
      <c r="I6" s="9">
        <f t="shared" si="10"/>
        <v>-184707.12</v>
      </c>
      <c r="J6" s="9">
        <f t="shared" si="10"/>
        <v>-195387.50000000003</v>
      </c>
      <c r="K6" s="9">
        <f t="shared" si="10"/>
        <v>-221584.27000000005</v>
      </c>
      <c r="L6" s="9">
        <f t="shared" si="10"/>
        <v>-215152.45000000007</v>
      </c>
      <c r="M6" s="9">
        <f t="shared" si="10"/>
        <v>-221135.25000000009</v>
      </c>
      <c r="N6" s="9">
        <f>B6</f>
        <v>-208303.06</v>
      </c>
    </row>
    <row r="7" spans="1:18" ht="20.350000000000001" customHeight="1" thickBot="1">
      <c r="A7" s="10" t="s">
        <v>12</v>
      </c>
      <c r="B7" s="11">
        <f>SUM(B8:B14)</f>
        <v>71162.87</v>
      </c>
      <c r="C7" s="11">
        <f>SUM(C8:C14)</f>
        <v>71162.87</v>
      </c>
      <c r="D7" s="11">
        <f>SUM(D8:D14)</f>
        <v>71162.87</v>
      </c>
      <c r="E7" s="11">
        <f t="shared" ref="E7:G7" si="11">SUM(E8:E14)</f>
        <v>71162.87</v>
      </c>
      <c r="F7" s="11">
        <f t="shared" si="11"/>
        <v>93708.689999999988</v>
      </c>
      <c r="G7" s="11">
        <f t="shared" si="11"/>
        <v>74042.92</v>
      </c>
      <c r="H7" s="11">
        <f>SUM(H8:H14)</f>
        <v>71247.88</v>
      </c>
      <c r="I7" s="11">
        <f>SUM(I8:I14)</f>
        <v>79365.430000000022</v>
      </c>
      <c r="J7" s="11">
        <f>SUM(J8:J14)</f>
        <v>101529.76000000001</v>
      </c>
      <c r="K7" s="11">
        <f t="shared" ref="K7:M7" si="12">SUM(K8:K14)</f>
        <v>94268.170000000013</v>
      </c>
      <c r="L7" s="11">
        <f t="shared" si="12"/>
        <v>94268.170000000013</v>
      </c>
      <c r="M7" s="11">
        <f t="shared" si="12"/>
        <v>94268.170000000013</v>
      </c>
      <c r="N7" s="11">
        <f>SUM(B7:M7)</f>
        <v>987350.67000000016</v>
      </c>
    </row>
    <row r="8" spans="1:18" ht="21" customHeight="1" thickBot="1">
      <c r="A8" s="3" t="s">
        <v>28</v>
      </c>
      <c r="B8" s="12">
        <f t="shared" ref="B8:G8" si="13">69600.35+893.17</f>
        <v>70493.52</v>
      </c>
      <c r="C8" s="12">
        <f t="shared" si="13"/>
        <v>70493.52</v>
      </c>
      <c r="D8" s="12">
        <f t="shared" si="13"/>
        <v>70493.52</v>
      </c>
      <c r="E8" s="12">
        <f t="shared" si="13"/>
        <v>70493.52</v>
      </c>
      <c r="F8" s="12">
        <f t="shared" si="13"/>
        <v>70493.52</v>
      </c>
      <c r="G8" s="12">
        <f t="shared" si="13"/>
        <v>70493.52</v>
      </c>
      <c r="H8" s="12">
        <f>69600.35+893.17</f>
        <v>70493.52</v>
      </c>
      <c r="I8" s="12">
        <f>69600.35+893.17</f>
        <v>70493.52</v>
      </c>
      <c r="J8" s="12">
        <f>92591.02+893.17</f>
        <v>93484.19</v>
      </c>
      <c r="K8" s="12">
        <f>92591.02+893.17</f>
        <v>93484.19</v>
      </c>
      <c r="L8" s="12">
        <f>92591.02+893.17</f>
        <v>93484.19</v>
      </c>
      <c r="M8" s="12">
        <f>92591.02+893.17</f>
        <v>93484.19</v>
      </c>
      <c r="N8" s="12">
        <f>SUM(B8:M8)</f>
        <v>937884.91999999993</v>
      </c>
    </row>
    <row r="9" spans="1:18" ht="21" customHeight="1" thickBot="1">
      <c r="A9" s="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4" si="14">SUM(B9:M9)</f>
        <v>0</v>
      </c>
    </row>
    <row r="10" spans="1:18" ht="21" customHeight="1" thickBot="1">
      <c r="A10" s="3" t="s">
        <v>18</v>
      </c>
      <c r="B10" s="12">
        <v>283.37</v>
      </c>
      <c r="C10" s="12">
        <v>283.37</v>
      </c>
      <c r="D10" s="12">
        <v>283.37</v>
      </c>
      <c r="E10" s="12">
        <v>283.37</v>
      </c>
      <c r="F10" s="12">
        <v>283.37</v>
      </c>
      <c r="G10" s="12">
        <v>283.37</v>
      </c>
      <c r="H10" s="12">
        <v>368.38</v>
      </c>
      <c r="I10" s="12">
        <v>368.38</v>
      </c>
      <c r="J10" s="12">
        <v>368.38</v>
      </c>
      <c r="K10" s="12">
        <v>368.38</v>
      </c>
      <c r="L10" s="12">
        <v>368.38</v>
      </c>
      <c r="M10" s="12">
        <v>368.38</v>
      </c>
      <c r="N10" s="12">
        <f t="shared" si="14"/>
        <v>3910.5000000000005</v>
      </c>
    </row>
    <row r="11" spans="1:18" ht="21" customHeight="1" thickBot="1">
      <c r="A11" s="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22545.82</v>
      </c>
      <c r="G11" s="12">
        <v>2880.05</v>
      </c>
      <c r="H11" s="12">
        <v>0</v>
      </c>
      <c r="I11" s="12">
        <v>8087.93</v>
      </c>
      <c r="J11" s="12">
        <v>7261.59</v>
      </c>
      <c r="K11" s="12">
        <v>0</v>
      </c>
      <c r="L11" s="12">
        <v>0</v>
      </c>
      <c r="M11" s="12">
        <v>0</v>
      </c>
      <c r="N11" s="12">
        <f t="shared" si="14"/>
        <v>40775.39</v>
      </c>
    </row>
    <row r="12" spans="1:18" ht="21" customHeight="1" thickBot="1">
      <c r="A12" s="3" t="s">
        <v>25</v>
      </c>
      <c r="B12" s="12">
        <v>285.98</v>
      </c>
      <c r="C12" s="12">
        <v>285.98</v>
      </c>
      <c r="D12" s="12">
        <v>285.98</v>
      </c>
      <c r="E12" s="12">
        <v>285.98</v>
      </c>
      <c r="F12" s="12">
        <v>285.98</v>
      </c>
      <c r="G12" s="12">
        <v>285.98</v>
      </c>
      <c r="H12" s="12">
        <v>285.98</v>
      </c>
      <c r="I12" s="12">
        <v>315.60000000000002</v>
      </c>
      <c r="J12" s="12">
        <v>315.60000000000002</v>
      </c>
      <c r="K12" s="12">
        <v>315.60000000000002</v>
      </c>
      <c r="L12" s="12">
        <v>315.60000000000002</v>
      </c>
      <c r="M12" s="12">
        <v>315.60000000000002</v>
      </c>
      <c r="N12" s="12">
        <f t="shared" si="14"/>
        <v>3579.8599999999997</v>
      </c>
    </row>
    <row r="13" spans="1:18" ht="21" hidden="1" customHeight="1" thickBot="1">
      <c r="A13" s="3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14"/>
        <v>0</v>
      </c>
    </row>
    <row r="14" spans="1:18" ht="21" customHeight="1" thickBot="1">
      <c r="A14" s="3" t="s">
        <v>15</v>
      </c>
      <c r="B14" s="12">
        <f>400-300</f>
        <v>100</v>
      </c>
      <c r="C14" s="12">
        <f t="shared" ref="C14:M14" si="15">400-300</f>
        <v>100</v>
      </c>
      <c r="D14" s="12">
        <f t="shared" si="15"/>
        <v>100</v>
      </c>
      <c r="E14" s="12">
        <f t="shared" si="15"/>
        <v>100</v>
      </c>
      <c r="F14" s="12">
        <f t="shared" si="15"/>
        <v>100</v>
      </c>
      <c r="G14" s="12">
        <f t="shared" si="15"/>
        <v>100</v>
      </c>
      <c r="H14" s="12">
        <f t="shared" si="15"/>
        <v>100</v>
      </c>
      <c r="I14" s="12">
        <f t="shared" si="15"/>
        <v>100</v>
      </c>
      <c r="J14" s="12">
        <f t="shared" si="15"/>
        <v>100</v>
      </c>
      <c r="K14" s="12">
        <f t="shared" si="15"/>
        <v>100</v>
      </c>
      <c r="L14" s="12">
        <f t="shared" si="15"/>
        <v>100</v>
      </c>
      <c r="M14" s="12">
        <f t="shared" si="15"/>
        <v>100</v>
      </c>
      <c r="N14" s="12">
        <f t="shared" si="14"/>
        <v>1200</v>
      </c>
    </row>
    <row r="15" spans="1:18" ht="20.350000000000001" customHeight="1" thickBot="1">
      <c r="A15" s="13" t="s">
        <v>8</v>
      </c>
      <c r="B15" s="14">
        <f>SUM(B16:B22)</f>
        <v>64362.750000000015</v>
      </c>
      <c r="C15" s="14">
        <f t="shared" ref="C15:M15" si="16">SUM(C16:C22)</f>
        <v>67925.05</v>
      </c>
      <c r="D15" s="14">
        <f t="shared" si="16"/>
        <v>72455.069999999992</v>
      </c>
      <c r="E15" s="14">
        <f t="shared" si="16"/>
        <v>64707.319999999992</v>
      </c>
      <c r="F15" s="14">
        <f t="shared" si="16"/>
        <v>64944.51</v>
      </c>
      <c r="G15" s="14">
        <f t="shared" si="16"/>
        <v>97570.700000000012</v>
      </c>
      <c r="H15" s="14">
        <f t="shared" si="16"/>
        <v>100682.52999999998</v>
      </c>
      <c r="I15" s="14">
        <f t="shared" si="16"/>
        <v>68685.049999999988</v>
      </c>
      <c r="J15" s="14">
        <f t="shared" si="16"/>
        <v>75332.989999999991</v>
      </c>
      <c r="K15" s="14">
        <f t="shared" si="16"/>
        <v>100699.99</v>
      </c>
      <c r="L15" s="14">
        <f t="shared" si="16"/>
        <v>88285.37</v>
      </c>
      <c r="M15" s="14">
        <f t="shared" si="16"/>
        <v>102058.11999999998</v>
      </c>
      <c r="N15" s="14">
        <f>SUM(B15:M15)</f>
        <v>967709.45</v>
      </c>
    </row>
    <row r="16" spans="1:18" ht="23.95" customHeight="1" thickBot="1">
      <c r="A16" s="3" t="s">
        <v>29</v>
      </c>
      <c r="B16" s="12">
        <f>63092.73+805.72</f>
        <v>63898.450000000004</v>
      </c>
      <c r="C16" s="12">
        <f>66542.48+838.41</f>
        <v>67380.89</v>
      </c>
      <c r="D16" s="12">
        <f>69340.72+1006.09+1660.68</f>
        <v>72007.489999999991</v>
      </c>
      <c r="E16" s="12">
        <f>63706.77-174.6+790.57-75.5</f>
        <v>64247.24</v>
      </c>
      <c r="F16" s="12">
        <f>63689.72+793.25</f>
        <v>64482.97</v>
      </c>
      <c r="G16" s="12">
        <f>75628.9+858.46</f>
        <v>76487.360000000001</v>
      </c>
      <c r="H16" s="12">
        <f>94408.54+1202.59</f>
        <v>95611.12999999999</v>
      </c>
      <c r="I16" s="12">
        <f>66985.55+845.97</f>
        <v>67831.520000000004</v>
      </c>
      <c r="J16" s="12">
        <f>66204.68+829.54</f>
        <v>67034.219999999987</v>
      </c>
      <c r="K16" s="12">
        <f>91895.52+876.28</f>
        <v>92771.8</v>
      </c>
      <c r="L16" s="12">
        <f>86117.91+5.26+1241.52</f>
        <v>87364.69</v>
      </c>
      <c r="M16" s="12">
        <f>99610.8+973.26</f>
        <v>100584.06</v>
      </c>
      <c r="N16" s="12">
        <f>SUM(B16:M16)</f>
        <v>919701.82000000007</v>
      </c>
    </row>
    <row r="17" spans="1:14" ht="23.95" customHeight="1" thickBot="1">
      <c r="A17" s="3" t="s">
        <v>17</v>
      </c>
      <c r="B17" s="12">
        <v>33</v>
      </c>
      <c r="C17" s="12">
        <v>68.06</v>
      </c>
      <c r="D17" s="12">
        <v>9.75</v>
      </c>
      <c r="E17" s="12">
        <v>12.93</v>
      </c>
      <c r="F17" s="12">
        <v>13.91</v>
      </c>
      <c r="G17" s="12">
        <v>8.5</v>
      </c>
      <c r="H17" s="12">
        <v>15.28</v>
      </c>
      <c r="I17" s="12">
        <v>8.34</v>
      </c>
      <c r="J17" s="12">
        <v>8.6</v>
      </c>
      <c r="K17" s="12">
        <v>7.75</v>
      </c>
      <c r="L17" s="12">
        <v>5.64</v>
      </c>
      <c r="M17" s="12">
        <v>6.31</v>
      </c>
      <c r="N17" s="12">
        <f t="shared" ref="N17:N22" si="17">SUM(B17:M17)</f>
        <v>198.07</v>
      </c>
    </row>
    <row r="18" spans="1:14" ht="23.95" customHeight="1" thickBot="1">
      <c r="A18" s="3" t="s">
        <v>18</v>
      </c>
      <c r="B18" s="12">
        <v>255.41</v>
      </c>
      <c r="C18" s="12">
        <v>272.32</v>
      </c>
      <c r="D18" s="12">
        <v>285.39</v>
      </c>
      <c r="E18" s="12">
        <v>260.95</v>
      </c>
      <c r="F18" s="12">
        <v>260.52</v>
      </c>
      <c r="G18" s="12">
        <v>311.8</v>
      </c>
      <c r="H18" s="12">
        <v>379.8</v>
      </c>
      <c r="I18" s="12">
        <v>353.34</v>
      </c>
      <c r="J18" s="12">
        <v>349.85</v>
      </c>
      <c r="K18" s="12">
        <v>371.94</v>
      </c>
      <c r="L18" s="12">
        <v>344.08</v>
      </c>
      <c r="M18" s="12">
        <v>400.06</v>
      </c>
      <c r="N18" s="12">
        <f t="shared" si="17"/>
        <v>3845.4599999999996</v>
      </c>
    </row>
    <row r="19" spans="1:14" ht="23.95" customHeight="1" thickBot="1">
      <c r="A19" s="3" t="s">
        <v>19</v>
      </c>
      <c r="B19" s="12">
        <v>71.23</v>
      </c>
      <c r="C19" s="12">
        <v>92.08</v>
      </c>
      <c r="D19" s="12">
        <v>48.5</v>
      </c>
      <c r="E19" s="12">
        <v>64.569999999999993</v>
      </c>
      <c r="F19" s="12">
        <v>66.069999999999993</v>
      </c>
      <c r="G19" s="12">
        <v>20609.490000000002</v>
      </c>
      <c r="H19" s="12">
        <v>4184.17</v>
      </c>
      <c r="I19" s="12">
        <v>112.67</v>
      </c>
      <c r="J19" s="12">
        <v>7536.82</v>
      </c>
      <c r="K19" s="12">
        <v>7127.11</v>
      </c>
      <c r="L19" s="12">
        <v>173.54</v>
      </c>
      <c r="M19" s="12">
        <v>624.51</v>
      </c>
      <c r="N19" s="12">
        <f t="shared" si="17"/>
        <v>40710.76</v>
      </c>
    </row>
    <row r="20" spans="1:14" ht="23.95" customHeight="1" thickBot="1">
      <c r="A20" s="3" t="s">
        <v>25</v>
      </c>
      <c r="B20" s="12">
        <v>4.66</v>
      </c>
      <c r="C20" s="12">
        <v>11.7</v>
      </c>
      <c r="D20" s="12">
        <v>3.94</v>
      </c>
      <c r="E20" s="12">
        <v>21.63</v>
      </c>
      <c r="F20" s="12">
        <v>21.04</v>
      </c>
      <c r="G20" s="12">
        <v>53.55</v>
      </c>
      <c r="H20" s="12">
        <v>392.15</v>
      </c>
      <c r="I20" s="12">
        <v>279.18</v>
      </c>
      <c r="J20" s="12">
        <v>303.5</v>
      </c>
      <c r="K20" s="12">
        <v>321.39</v>
      </c>
      <c r="L20" s="12">
        <v>297.42</v>
      </c>
      <c r="M20" s="12">
        <v>343.18</v>
      </c>
      <c r="N20" s="12">
        <f t="shared" si="17"/>
        <v>2053.3399999999997</v>
      </c>
    </row>
    <row r="21" spans="1:14" ht="23.95" hidden="1" customHeight="1" thickBot="1">
      <c r="A21" s="3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17"/>
        <v>0</v>
      </c>
    </row>
    <row r="22" spans="1:14" ht="23.95" customHeight="1" thickBot="1">
      <c r="A22" s="3" t="s">
        <v>15</v>
      </c>
      <c r="B22" s="12">
        <f>400-300</f>
        <v>100</v>
      </c>
      <c r="C22" s="12">
        <f t="shared" ref="C22:M22" si="18">400-300</f>
        <v>100</v>
      </c>
      <c r="D22" s="12">
        <f t="shared" si="18"/>
        <v>100</v>
      </c>
      <c r="E22" s="12">
        <f t="shared" si="18"/>
        <v>100</v>
      </c>
      <c r="F22" s="12">
        <f t="shared" si="18"/>
        <v>100</v>
      </c>
      <c r="G22" s="12">
        <f t="shared" si="18"/>
        <v>100</v>
      </c>
      <c r="H22" s="12">
        <f t="shared" si="18"/>
        <v>100</v>
      </c>
      <c r="I22" s="12">
        <f t="shared" si="18"/>
        <v>100</v>
      </c>
      <c r="J22" s="12">
        <f t="shared" si="18"/>
        <v>100</v>
      </c>
      <c r="K22" s="12">
        <f t="shared" si="18"/>
        <v>100</v>
      </c>
      <c r="L22" s="12">
        <f t="shared" si="18"/>
        <v>100</v>
      </c>
      <c r="M22" s="12">
        <f t="shared" si="18"/>
        <v>100</v>
      </c>
      <c r="N22" s="12">
        <f t="shared" si="17"/>
        <v>1200</v>
      </c>
    </row>
    <row r="23" spans="1:14" ht="23.95" customHeight="1" thickBot="1">
      <c r="A23" s="4" t="s">
        <v>24</v>
      </c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ht="23.95" customHeight="1" thickBot="1">
      <c r="A24" s="3" t="s">
        <v>1</v>
      </c>
      <c r="B24" s="12">
        <f>3308*0.6</f>
        <v>1984.8</v>
      </c>
      <c r="C24" s="12">
        <f t="shared" ref="C24:M24" si="19">3308*0.6</f>
        <v>1984.8</v>
      </c>
      <c r="D24" s="12">
        <f t="shared" si="19"/>
        <v>1984.8</v>
      </c>
      <c r="E24" s="12">
        <f t="shared" si="19"/>
        <v>1984.8</v>
      </c>
      <c r="F24" s="12">
        <f t="shared" si="19"/>
        <v>1984.8</v>
      </c>
      <c r="G24" s="12">
        <f t="shared" si="19"/>
        <v>1984.8</v>
      </c>
      <c r="H24" s="12">
        <f t="shared" si="19"/>
        <v>1984.8</v>
      </c>
      <c r="I24" s="12">
        <f t="shared" si="19"/>
        <v>1984.8</v>
      </c>
      <c r="J24" s="12">
        <f t="shared" si="19"/>
        <v>1984.8</v>
      </c>
      <c r="K24" s="12">
        <f t="shared" si="19"/>
        <v>1984.8</v>
      </c>
      <c r="L24" s="12">
        <f t="shared" si="19"/>
        <v>1984.8</v>
      </c>
      <c r="M24" s="12">
        <f t="shared" si="19"/>
        <v>1984.8</v>
      </c>
      <c r="N24" s="12">
        <f t="shared" ref="N24:N37" si="20">SUM(B24:M24)</f>
        <v>23817.599999999995</v>
      </c>
    </row>
    <row r="25" spans="1:14" ht="23.95" customHeight="1" thickBot="1">
      <c r="A25" s="3" t="s">
        <v>2</v>
      </c>
      <c r="B25" s="12">
        <f>3308*0.17</f>
        <v>562.36</v>
      </c>
      <c r="C25" s="12">
        <f>3308*0.2</f>
        <v>661.6</v>
      </c>
      <c r="D25" s="12">
        <f>3308*0.2</f>
        <v>661.6</v>
      </c>
      <c r="E25" s="12">
        <f t="shared" ref="E25:M25" si="21">3308*0.2</f>
        <v>661.6</v>
      </c>
      <c r="F25" s="12">
        <f t="shared" si="21"/>
        <v>661.6</v>
      </c>
      <c r="G25" s="12">
        <f t="shared" si="21"/>
        <v>661.6</v>
      </c>
      <c r="H25" s="12">
        <f t="shared" si="21"/>
        <v>661.6</v>
      </c>
      <c r="I25" s="12">
        <f t="shared" si="21"/>
        <v>661.6</v>
      </c>
      <c r="J25" s="12">
        <f t="shared" si="21"/>
        <v>661.6</v>
      </c>
      <c r="K25" s="12">
        <f t="shared" si="21"/>
        <v>661.6</v>
      </c>
      <c r="L25" s="12">
        <f t="shared" si="21"/>
        <v>661.6</v>
      </c>
      <c r="M25" s="12">
        <f t="shared" si="21"/>
        <v>661.6</v>
      </c>
      <c r="N25" s="12">
        <f t="shared" si="20"/>
        <v>7839.9600000000019</v>
      </c>
    </row>
    <row r="26" spans="1:14" ht="23.95" customHeight="1" thickBot="1">
      <c r="A26" s="3" t="s">
        <v>3</v>
      </c>
      <c r="B26" s="12">
        <f>71062.87*2.3%</f>
        <v>1634.4460099999999</v>
      </c>
      <c r="C26" s="12">
        <f>71062.87*2.6%</f>
        <v>1847.63462</v>
      </c>
      <c r="D26" s="12">
        <f>71062.87*2.6%</f>
        <v>1847.63462</v>
      </c>
      <c r="E26" s="12">
        <f>71062.87*2.6%</f>
        <v>1847.63462</v>
      </c>
      <c r="F26" s="12">
        <f>93608.69*2.6%</f>
        <v>2433.8259400000002</v>
      </c>
      <c r="G26" s="12">
        <f>73942.92*2.6%</f>
        <v>1922.5159200000001</v>
      </c>
      <c r="H26" s="12">
        <f>71147.88*2.6%</f>
        <v>1849.8448800000003</v>
      </c>
      <c r="I26" s="12">
        <f>79265.43*2.6%</f>
        <v>2060.9011799999998</v>
      </c>
      <c r="J26" s="12">
        <f>101429.76*2.6%</f>
        <v>2637.1737600000001</v>
      </c>
      <c r="K26" s="12">
        <f>94168.17*2.6%</f>
        <v>2448.3724200000001</v>
      </c>
      <c r="L26" s="12">
        <f>94168.17*2.6%</f>
        <v>2448.3724200000001</v>
      </c>
      <c r="M26" s="12">
        <f>94168.17*2.6%</f>
        <v>2448.3724200000001</v>
      </c>
      <c r="N26" s="12">
        <f t="shared" si="20"/>
        <v>25426.728810000001</v>
      </c>
    </row>
    <row r="27" spans="1:14" ht="23.95" customHeight="1" thickBot="1">
      <c r="A27" s="3" t="s">
        <v>4</v>
      </c>
      <c r="B27" s="12">
        <f>64262.75*3%</f>
        <v>1927.8824999999999</v>
      </c>
      <c r="C27" s="12">
        <f>67825.05*3%</f>
        <v>2034.7515000000001</v>
      </c>
      <c r="D27" s="12">
        <f>72355.07*3%</f>
        <v>2170.6521000000002</v>
      </c>
      <c r="E27" s="12">
        <f>64607.32*3%</f>
        <v>1938.2195999999999</v>
      </c>
      <c r="F27" s="12">
        <f>64844.51*3%</f>
        <v>1945.3353</v>
      </c>
      <c r="G27" s="12">
        <f>97470.7*3%</f>
        <v>2924.1209999999996</v>
      </c>
      <c r="H27" s="12">
        <f>100582.53*3%</f>
        <v>3017.4758999999999</v>
      </c>
      <c r="I27" s="12">
        <f>68585.05*3%</f>
        <v>2057.5515</v>
      </c>
      <c r="J27" s="12">
        <f>75232.99*3%</f>
        <v>2256.9897000000001</v>
      </c>
      <c r="K27" s="12">
        <f>100599.99*3%</f>
        <v>3017.9996999999998</v>
      </c>
      <c r="L27" s="12">
        <f>88185.37*3%</f>
        <v>2645.5610999999999</v>
      </c>
      <c r="M27" s="12">
        <f>101958.12*3%</f>
        <v>3058.7435999999998</v>
      </c>
      <c r="N27" s="12">
        <f t="shared" si="20"/>
        <v>28995.283499999998</v>
      </c>
    </row>
    <row r="28" spans="1:14" ht="23.95" customHeight="1" thickBot="1">
      <c r="A28" s="3" t="s">
        <v>9</v>
      </c>
      <c r="B28" s="12">
        <f>3308*12</f>
        <v>39696</v>
      </c>
      <c r="C28" s="12">
        <f t="shared" ref="C28:M28" si="22">3308*12</f>
        <v>39696</v>
      </c>
      <c r="D28" s="12">
        <f t="shared" si="22"/>
        <v>39696</v>
      </c>
      <c r="E28" s="12">
        <f t="shared" si="22"/>
        <v>39696</v>
      </c>
      <c r="F28" s="12">
        <f t="shared" si="22"/>
        <v>39696</v>
      </c>
      <c r="G28" s="12">
        <f t="shared" si="22"/>
        <v>39696</v>
      </c>
      <c r="H28" s="12">
        <f t="shared" si="22"/>
        <v>39696</v>
      </c>
      <c r="I28" s="12">
        <f t="shared" si="22"/>
        <v>39696</v>
      </c>
      <c r="J28" s="12">
        <f t="shared" si="22"/>
        <v>39696</v>
      </c>
      <c r="K28" s="12">
        <f t="shared" si="22"/>
        <v>39696</v>
      </c>
      <c r="L28" s="12">
        <f t="shared" si="22"/>
        <v>39696</v>
      </c>
      <c r="M28" s="12">
        <f t="shared" si="22"/>
        <v>39696</v>
      </c>
      <c r="N28" s="12">
        <f t="shared" si="20"/>
        <v>476352</v>
      </c>
    </row>
    <row r="29" spans="1:14" ht="23.95" customHeight="1" thickBot="1">
      <c r="A29" s="3" t="s">
        <v>20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f t="shared" si="20"/>
        <v>0</v>
      </c>
    </row>
    <row r="30" spans="1:14" ht="23.95" customHeight="1" thickBot="1">
      <c r="A30" s="3" t="s">
        <v>21</v>
      </c>
      <c r="B30" s="12">
        <v>425.16</v>
      </c>
      <c r="C30" s="12">
        <v>425.16</v>
      </c>
      <c r="D30" s="12">
        <v>425.16</v>
      </c>
      <c r="E30" s="12">
        <v>425.16</v>
      </c>
      <c r="F30" s="12">
        <v>425.16</v>
      </c>
      <c r="G30" s="12">
        <v>425.16</v>
      </c>
      <c r="H30" s="12">
        <v>553.73</v>
      </c>
      <c r="I30" s="12">
        <v>553.73</v>
      </c>
      <c r="J30" s="12">
        <v>553.73</v>
      </c>
      <c r="K30" s="12">
        <v>553.73</v>
      </c>
      <c r="L30" s="12">
        <v>553.73</v>
      </c>
      <c r="M30" s="12">
        <v>553.73</v>
      </c>
      <c r="N30" s="12">
        <f t="shared" si="20"/>
        <v>5873.3399999999983</v>
      </c>
    </row>
    <row r="31" spans="1:14" ht="23.95" customHeight="1" thickBot="1">
      <c r="A31" s="3" t="s">
        <v>22</v>
      </c>
      <c r="B31" s="12">
        <v>0</v>
      </c>
      <c r="C31" s="12">
        <v>0</v>
      </c>
      <c r="D31" s="12">
        <v>0</v>
      </c>
      <c r="E31" s="12">
        <v>22545.81</v>
      </c>
      <c r="F31" s="12">
        <v>2880.08</v>
      </c>
      <c r="G31" s="12">
        <v>0</v>
      </c>
      <c r="H31" s="12">
        <v>8087.93</v>
      </c>
      <c r="I31" s="12">
        <v>7261.6</v>
      </c>
      <c r="J31" s="12">
        <v>0</v>
      </c>
      <c r="K31" s="12">
        <v>0</v>
      </c>
      <c r="L31" s="12">
        <v>0</v>
      </c>
      <c r="M31" s="12">
        <v>0</v>
      </c>
      <c r="N31" s="12">
        <f t="shared" si="20"/>
        <v>40775.42</v>
      </c>
    </row>
    <row r="32" spans="1:14" ht="22.8" customHeight="1" thickBot="1">
      <c r="A32" s="3" t="s">
        <v>25</v>
      </c>
      <c r="B32" s="12">
        <f>285.97+0</f>
        <v>285.97000000000003</v>
      </c>
      <c r="C32" s="12">
        <f t="shared" ref="C32:G32" si="23">285.97+0</f>
        <v>285.97000000000003</v>
      </c>
      <c r="D32" s="12">
        <f t="shared" si="23"/>
        <v>285.97000000000003</v>
      </c>
      <c r="E32" s="12">
        <f t="shared" si="23"/>
        <v>285.97000000000003</v>
      </c>
      <c r="F32" s="12">
        <f t="shared" si="23"/>
        <v>285.97000000000003</v>
      </c>
      <c r="G32" s="12">
        <f t="shared" si="23"/>
        <v>285.97000000000003</v>
      </c>
      <c r="H32" s="12">
        <f>315.61+0</f>
        <v>315.61</v>
      </c>
      <c r="I32" s="12">
        <f t="shared" ref="I32:M32" si="24">315.61+0</f>
        <v>315.61</v>
      </c>
      <c r="J32" s="12">
        <f t="shared" si="24"/>
        <v>315.61</v>
      </c>
      <c r="K32" s="12">
        <f t="shared" si="24"/>
        <v>315.61</v>
      </c>
      <c r="L32" s="12">
        <f t="shared" si="24"/>
        <v>315.61</v>
      </c>
      <c r="M32" s="12">
        <f t="shared" si="24"/>
        <v>315.61</v>
      </c>
      <c r="N32" s="12">
        <f t="shared" si="20"/>
        <v>3609.4800000000009</v>
      </c>
    </row>
    <row r="33" spans="1:14" ht="18.850000000000001" hidden="1" customHeight="1" thickBot="1">
      <c r="A33" s="5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2">
        <f t="shared" si="20"/>
        <v>0</v>
      </c>
    </row>
    <row r="34" spans="1:14" ht="23.95" customHeight="1" thickBot="1">
      <c r="A34" s="3" t="s">
        <v>6</v>
      </c>
      <c r="B34" s="12">
        <f>3308*3.15</f>
        <v>10420.199999999999</v>
      </c>
      <c r="C34" s="12">
        <f t="shared" ref="C34:I34" si="25">3308*3.15</f>
        <v>10420.199999999999</v>
      </c>
      <c r="D34" s="12">
        <f t="shared" si="25"/>
        <v>10420.199999999999</v>
      </c>
      <c r="E34" s="12">
        <f t="shared" si="25"/>
        <v>10420.199999999999</v>
      </c>
      <c r="F34" s="12">
        <f t="shared" si="25"/>
        <v>10420.199999999999</v>
      </c>
      <c r="G34" s="12">
        <f t="shared" si="25"/>
        <v>10420.199999999999</v>
      </c>
      <c r="H34" s="12">
        <f t="shared" si="25"/>
        <v>10420.199999999999</v>
      </c>
      <c r="I34" s="12">
        <f t="shared" si="25"/>
        <v>10420.199999999999</v>
      </c>
      <c r="J34" s="12">
        <f>3308*4.2</f>
        <v>13893.6</v>
      </c>
      <c r="K34" s="12">
        <f t="shared" ref="K34:M34" si="26">3308*4.2</f>
        <v>13893.6</v>
      </c>
      <c r="L34" s="12">
        <f t="shared" si="26"/>
        <v>13893.6</v>
      </c>
      <c r="M34" s="12">
        <f t="shared" si="26"/>
        <v>13893.6</v>
      </c>
      <c r="N34" s="12">
        <f t="shared" si="20"/>
        <v>138936</v>
      </c>
    </row>
    <row r="35" spans="1:14" ht="22.15" customHeight="1" thickBot="1">
      <c r="A35" s="3" t="s">
        <v>26</v>
      </c>
      <c r="B35" s="12">
        <v>1100</v>
      </c>
      <c r="C35" s="12">
        <v>1100</v>
      </c>
      <c r="D35" s="12">
        <v>1100</v>
      </c>
      <c r="E35" s="12">
        <v>1100</v>
      </c>
      <c r="F35" s="12">
        <v>1100</v>
      </c>
      <c r="G35" s="12">
        <v>1100</v>
      </c>
      <c r="H35" s="12">
        <v>1100</v>
      </c>
      <c r="I35" s="12">
        <v>1100</v>
      </c>
      <c r="J35" s="12">
        <v>1100</v>
      </c>
      <c r="K35" s="12">
        <v>1100</v>
      </c>
      <c r="L35" s="12">
        <v>1100</v>
      </c>
      <c r="M35" s="12">
        <v>1100</v>
      </c>
      <c r="N35" s="12">
        <f t="shared" si="20"/>
        <v>13200</v>
      </c>
    </row>
    <row r="36" spans="1:14" ht="26.45" customHeight="1" thickBot="1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21349.16</v>
      </c>
      <c r="L36" s="12">
        <v>0</v>
      </c>
      <c r="M36" s="12">
        <v>0</v>
      </c>
      <c r="N36" s="12">
        <f t="shared" si="20"/>
        <v>21349.16</v>
      </c>
    </row>
    <row r="37" spans="1:14" ht="25.8" customHeight="1" thickBot="1">
      <c r="A37" s="3" t="s">
        <v>10</v>
      </c>
      <c r="B37" s="12">
        <v>0</v>
      </c>
      <c r="C37" s="12">
        <f>105</f>
        <v>105</v>
      </c>
      <c r="D37" s="12">
        <v>0</v>
      </c>
      <c r="E37" s="12">
        <f>6107.7</f>
        <v>6107.7</v>
      </c>
      <c r="F37" s="12">
        <f>210</f>
        <v>210</v>
      </c>
      <c r="G37" s="12">
        <f>1730.8+5500</f>
        <v>7230.8</v>
      </c>
      <c r="H37" s="12">
        <f>6643.6</f>
        <v>6643.6</v>
      </c>
      <c r="I37" s="12">
        <f>15200</f>
        <v>15200</v>
      </c>
      <c r="J37" s="12">
        <v>0</v>
      </c>
      <c r="K37" s="12">
        <f>198464+1626.5+7293.6+250</f>
        <v>207634.1</v>
      </c>
      <c r="L37" s="12">
        <f>52000</f>
        <v>52000</v>
      </c>
      <c r="M37" s="12">
        <v>0</v>
      </c>
      <c r="N37" s="12">
        <f t="shared" si="20"/>
        <v>295131.2</v>
      </c>
    </row>
    <row r="38" spans="1:14" ht="22.5" customHeight="1" thickBot="1">
      <c r="A38" s="10" t="s">
        <v>23</v>
      </c>
      <c r="B38" s="11">
        <f t="shared" ref="B38:M38" si="27">SUM(B24:B37)</f>
        <v>58036.818509999997</v>
      </c>
      <c r="C38" s="11">
        <f t="shared" si="27"/>
        <v>58561.116120000006</v>
      </c>
      <c r="D38" s="11">
        <f t="shared" si="27"/>
        <v>58592.01672</v>
      </c>
      <c r="E38" s="11">
        <f t="shared" si="27"/>
        <v>87013.094219999999</v>
      </c>
      <c r="F38" s="11">
        <f t="shared" si="27"/>
        <v>62042.971240000006</v>
      </c>
      <c r="G38" s="11">
        <f t="shared" si="27"/>
        <v>66651.166920000003</v>
      </c>
      <c r="H38" s="11">
        <f t="shared" si="27"/>
        <v>74330.79078000001</v>
      </c>
      <c r="I38" s="11">
        <f t="shared" si="27"/>
        <v>81311.992679999996</v>
      </c>
      <c r="J38" s="11">
        <f t="shared" si="27"/>
        <v>63099.50346</v>
      </c>
      <c r="K38" s="11">
        <f t="shared" si="27"/>
        <v>292654.97211999999</v>
      </c>
      <c r="L38" s="11">
        <f t="shared" si="27"/>
        <v>115299.27352</v>
      </c>
      <c r="M38" s="11">
        <f t="shared" si="27"/>
        <v>63712.456020000005</v>
      </c>
      <c r="N38" s="11">
        <f>SUM(B38:M38)</f>
        <v>1081306.1723100001</v>
      </c>
    </row>
    <row r="39" spans="1:14" ht="23.3" customHeight="1" thickBot="1">
      <c r="A39" s="3" t="s">
        <v>5</v>
      </c>
      <c r="B39" s="16">
        <f t="shared" ref="B39:N39" si="28">B15-B38</f>
        <v>6325.9314900000172</v>
      </c>
      <c r="C39" s="16">
        <f t="shared" si="28"/>
        <v>9363.9338799999969</v>
      </c>
      <c r="D39" s="16">
        <f t="shared" si="28"/>
        <v>13863.053279999993</v>
      </c>
      <c r="E39" s="16">
        <f t="shared" si="28"/>
        <v>-22305.774220000007</v>
      </c>
      <c r="F39" s="16">
        <f t="shared" si="28"/>
        <v>2901.5387599999958</v>
      </c>
      <c r="G39" s="16">
        <f t="shared" si="28"/>
        <v>30919.533080000008</v>
      </c>
      <c r="H39" s="16">
        <f t="shared" si="28"/>
        <v>26351.739219999974</v>
      </c>
      <c r="I39" s="16">
        <f t="shared" si="28"/>
        <v>-12626.942680000007</v>
      </c>
      <c r="J39" s="16">
        <f t="shared" si="28"/>
        <v>12233.486539999991</v>
      </c>
      <c r="K39" s="16">
        <f t="shared" si="28"/>
        <v>-191954.98212</v>
      </c>
      <c r="L39" s="16">
        <f t="shared" si="28"/>
        <v>-27013.903520000007</v>
      </c>
      <c r="M39" s="16">
        <f t="shared" si="28"/>
        <v>38345.663979999976</v>
      </c>
      <c r="N39" s="12">
        <f t="shared" si="28"/>
        <v>-113596.7223100001</v>
      </c>
    </row>
    <row r="40" spans="1:14" ht="23.3" customHeight="1" thickBot="1">
      <c r="A40" s="3" t="s">
        <v>7</v>
      </c>
      <c r="B40" s="17">
        <f t="shared" ref="B40:M40" si="29">B5+B39</f>
        <v>173403.05149000001</v>
      </c>
      <c r="C40" s="17">
        <f t="shared" si="29"/>
        <v>182766.98537000001</v>
      </c>
      <c r="D40" s="17">
        <f t="shared" si="29"/>
        <v>196630.03865</v>
      </c>
      <c r="E40" s="17">
        <f t="shared" si="29"/>
        <v>174324.26442999998</v>
      </c>
      <c r="F40" s="17">
        <f t="shared" si="29"/>
        <v>177225.80318999998</v>
      </c>
      <c r="G40" s="17">
        <f t="shared" si="29"/>
        <v>208145.33626999997</v>
      </c>
      <c r="H40" s="17">
        <f t="shared" si="29"/>
        <v>234497.07548999996</v>
      </c>
      <c r="I40" s="17">
        <f t="shared" si="29"/>
        <v>221870.13280999995</v>
      </c>
      <c r="J40" s="17">
        <f t="shared" si="29"/>
        <v>234103.61934999994</v>
      </c>
      <c r="K40" s="17">
        <f t="shared" si="29"/>
        <v>42148.637229999935</v>
      </c>
      <c r="L40" s="17">
        <f t="shared" si="29"/>
        <v>15134.733709999928</v>
      </c>
      <c r="M40" s="17">
        <f t="shared" si="29"/>
        <v>53480.397689999903</v>
      </c>
      <c r="N40" s="16">
        <f>N5-N38+N15</f>
        <v>53480.397689999896</v>
      </c>
    </row>
    <row r="41" spans="1:14" ht="23.3" customHeight="1" thickBot="1">
      <c r="A41" s="3" t="s">
        <v>43</v>
      </c>
      <c r="B41" s="12">
        <v>0</v>
      </c>
      <c r="C41" s="12">
        <v>0</v>
      </c>
      <c r="D41" s="12">
        <v>14598.98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7">
        <f>SUM(B41:M41)</f>
        <v>14598.98</v>
      </c>
    </row>
    <row r="42" spans="1:14" ht="27.1" customHeight="1" thickBot="1">
      <c r="A42" s="4" t="s">
        <v>11</v>
      </c>
      <c r="B42" s="18">
        <f>B6+B15-B7</f>
        <v>-215103.18</v>
      </c>
      <c r="C42" s="18">
        <f t="shared" ref="C42" si="30">C6+C15-C7</f>
        <v>-218341</v>
      </c>
      <c r="D42" s="18">
        <f>D6+D15-D7+D41</f>
        <v>-202449.81999999998</v>
      </c>
      <c r="E42" s="18">
        <f t="shared" ref="E42:N42" si="31">E6+E15-E7+E41</f>
        <v>-208905.37</v>
      </c>
      <c r="F42" s="18">
        <f t="shared" si="31"/>
        <v>-237669.55</v>
      </c>
      <c r="G42" s="18">
        <f t="shared" si="31"/>
        <v>-214141.76999999996</v>
      </c>
      <c r="H42" s="18">
        <f t="shared" si="31"/>
        <v>-184707.12</v>
      </c>
      <c r="I42" s="18">
        <f t="shared" si="31"/>
        <v>-195387.50000000003</v>
      </c>
      <c r="J42" s="18">
        <f t="shared" si="31"/>
        <v>-221584.27000000005</v>
      </c>
      <c r="K42" s="18">
        <f t="shared" si="31"/>
        <v>-215152.45000000007</v>
      </c>
      <c r="L42" s="18">
        <f t="shared" si="31"/>
        <v>-221135.25000000009</v>
      </c>
      <c r="M42" s="18">
        <f t="shared" si="31"/>
        <v>-213345.3000000001</v>
      </c>
      <c r="N42" s="18">
        <f t="shared" si="31"/>
        <v>-213345.30000000025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2026-02-19T07:05:15Z</cp:lastPrinted>
  <dcterms:created xsi:type="dcterms:W3CDTF">2011-06-06T03:25:48Z</dcterms:created>
  <dcterms:modified xsi:type="dcterms:W3CDTF">2026-02-20T04:54:07Z</dcterms:modified>
</cp:coreProperties>
</file>