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M19" i="1" l="1"/>
  <c r="M22" i="1"/>
  <c r="M20" i="1"/>
  <c r="M10" i="1"/>
  <c r="M13" i="1"/>
  <c r="M11" i="1"/>
  <c r="M9" i="1"/>
  <c r="L19" i="1"/>
  <c r="L22" i="1"/>
  <c r="L20" i="1"/>
  <c r="L10" i="1"/>
  <c r="L13" i="1"/>
  <c r="L11" i="1"/>
  <c r="L9" i="1"/>
  <c r="K19" i="1"/>
  <c r="K22" i="1"/>
  <c r="K20" i="1"/>
  <c r="K10" i="1"/>
  <c r="K13" i="1"/>
  <c r="K11" i="1"/>
  <c r="K9" i="1"/>
  <c r="K40" i="1" l="1"/>
  <c r="M34" i="1" l="1"/>
  <c r="L34" i="1"/>
  <c r="K34" i="1"/>
  <c r="M31" i="1"/>
  <c r="L31" i="1"/>
  <c r="K31" i="1"/>
  <c r="M29" i="1" l="1"/>
  <c r="M17" i="1"/>
  <c r="M28" i="1"/>
  <c r="M8" i="1"/>
  <c r="N22" i="1"/>
  <c r="L29" i="1" l="1"/>
  <c r="L17" i="1"/>
  <c r="L28" i="1"/>
  <c r="L8" i="1"/>
  <c r="K29" i="1" l="1"/>
  <c r="K17" i="1" l="1"/>
  <c r="K28" i="1"/>
  <c r="K8" i="1"/>
  <c r="N12" i="1"/>
  <c r="N13" i="1"/>
  <c r="K35" i="1" l="1"/>
  <c r="L35" i="1"/>
  <c r="M35" i="1"/>
  <c r="K30" i="1"/>
  <c r="L30" i="1"/>
  <c r="M30" i="1"/>
  <c r="K27" i="1"/>
  <c r="L27" i="1"/>
  <c r="M27" i="1"/>
  <c r="K26" i="1"/>
  <c r="L26" i="1"/>
  <c r="M26" i="1"/>
  <c r="J22" i="1" l="1"/>
  <c r="I22" i="1"/>
  <c r="H22" i="1"/>
  <c r="G22" i="1"/>
  <c r="F22" i="1"/>
  <c r="D22" i="1"/>
  <c r="C22" i="1"/>
  <c r="J13" i="1"/>
  <c r="I13" i="1"/>
  <c r="H13" i="1"/>
  <c r="G13" i="1"/>
  <c r="F13" i="1"/>
  <c r="E13" i="1"/>
  <c r="D13" i="1"/>
  <c r="C13" i="1"/>
  <c r="B13" i="1"/>
  <c r="J19" i="1" l="1"/>
  <c r="J20" i="1"/>
  <c r="J10" i="1"/>
  <c r="J11" i="1"/>
  <c r="J9" i="1"/>
  <c r="I19" i="1"/>
  <c r="I20" i="1"/>
  <c r="I10" i="1"/>
  <c r="I11" i="1"/>
  <c r="I9" i="1"/>
  <c r="H19" i="1"/>
  <c r="H20" i="1"/>
  <c r="H10" i="1"/>
  <c r="H11" i="1"/>
  <c r="H9" i="1"/>
  <c r="H24" i="1" l="1"/>
  <c r="I24" i="1"/>
  <c r="H15" i="1"/>
  <c r="I15" i="1"/>
  <c r="J15" i="1"/>
  <c r="G24" i="1" l="1"/>
  <c r="F24" i="1"/>
  <c r="E24" i="1"/>
  <c r="C24" i="1"/>
  <c r="D24" i="1"/>
  <c r="B24" i="1"/>
  <c r="C15" i="1"/>
  <c r="D15" i="1"/>
  <c r="E15" i="1"/>
  <c r="F15" i="1"/>
  <c r="G15" i="1"/>
  <c r="B15" i="1"/>
  <c r="J40" i="1" l="1"/>
  <c r="J34" i="1" l="1"/>
  <c r="I34" i="1"/>
  <c r="H34" i="1"/>
  <c r="J31" i="1"/>
  <c r="I31" i="1"/>
  <c r="H31" i="1"/>
  <c r="I40" i="1" l="1"/>
  <c r="J29" i="1" l="1"/>
  <c r="J17" i="1"/>
  <c r="J28" i="1"/>
  <c r="J8" i="1"/>
  <c r="I29" i="1" l="1"/>
  <c r="N37" i="1"/>
  <c r="I17" i="1"/>
  <c r="I28" i="1"/>
  <c r="I8" i="1" l="1"/>
  <c r="H40" i="1" l="1"/>
  <c r="H29" i="1" l="1"/>
  <c r="H17" i="1"/>
  <c r="H28" i="1"/>
  <c r="H8" i="1"/>
  <c r="H30" i="1"/>
  <c r="I30" i="1"/>
  <c r="J30" i="1"/>
  <c r="H27" i="1"/>
  <c r="I27" i="1"/>
  <c r="J27" i="1"/>
  <c r="H26" i="1"/>
  <c r="I26" i="1"/>
  <c r="J26" i="1"/>
  <c r="J35" i="1" l="1"/>
  <c r="I35" i="1"/>
  <c r="H35" i="1"/>
  <c r="G19" i="1" l="1"/>
  <c r="G20" i="1"/>
  <c r="G10" i="1"/>
  <c r="G11" i="1"/>
  <c r="G9" i="1"/>
  <c r="F19" i="1"/>
  <c r="F21" i="1"/>
  <c r="F20" i="1"/>
  <c r="F10" i="1"/>
  <c r="F11" i="1"/>
  <c r="F18" i="1"/>
  <c r="F9" i="1"/>
  <c r="E10" i="1"/>
  <c r="E11" i="1"/>
  <c r="E9" i="1"/>
  <c r="E34" i="1" l="1"/>
  <c r="F34" i="1"/>
  <c r="G34" i="1"/>
  <c r="G31" i="1"/>
  <c r="F31" i="1"/>
  <c r="E31" i="1"/>
  <c r="F40" i="1" l="1"/>
  <c r="G29" i="1" l="1"/>
  <c r="G17" i="1"/>
  <c r="G28" i="1"/>
  <c r="G8" i="1"/>
  <c r="F29" i="1" l="1"/>
  <c r="F17" i="1"/>
  <c r="F28" i="1"/>
  <c r="F8" i="1"/>
  <c r="E29" i="1" l="1"/>
  <c r="E17" i="1"/>
  <c r="E28" i="1"/>
  <c r="E8" i="1"/>
  <c r="E35" i="1" l="1"/>
  <c r="F35" i="1"/>
  <c r="G35" i="1"/>
  <c r="E30" i="1"/>
  <c r="F30" i="1"/>
  <c r="G30" i="1"/>
  <c r="E27" i="1"/>
  <c r="F27" i="1"/>
  <c r="G27" i="1"/>
  <c r="E26" i="1"/>
  <c r="F26" i="1"/>
  <c r="G26" i="1"/>
  <c r="D19" i="1" l="1"/>
  <c r="D20" i="1"/>
  <c r="D10" i="1"/>
  <c r="D12" i="1"/>
  <c r="D11" i="1"/>
  <c r="D9" i="1"/>
  <c r="C19" i="1"/>
  <c r="C20" i="1"/>
  <c r="C21" i="1"/>
  <c r="C10" i="1"/>
  <c r="C11" i="1"/>
  <c r="C9" i="1"/>
  <c r="B10" i="1"/>
  <c r="B12" i="1"/>
  <c r="B11" i="1"/>
  <c r="B9" i="1"/>
  <c r="D34" i="1" l="1"/>
  <c r="C34" i="1"/>
  <c r="B34" i="1"/>
  <c r="D31" i="1"/>
  <c r="C31" i="1"/>
  <c r="B31" i="1"/>
  <c r="C40" i="1" l="1"/>
  <c r="B40" i="1" l="1"/>
  <c r="D28" i="1" l="1"/>
  <c r="C30" i="1" l="1"/>
  <c r="D30" i="1"/>
  <c r="B30" i="1"/>
  <c r="C28" i="1"/>
  <c r="D27" i="1"/>
  <c r="C27" i="1"/>
  <c r="D29" i="1" l="1"/>
  <c r="D17" i="1"/>
  <c r="D8" i="1"/>
  <c r="C29" i="1" l="1"/>
  <c r="C17" i="1"/>
  <c r="C8" i="1"/>
  <c r="B29" i="1" l="1"/>
  <c r="B17" i="1"/>
  <c r="B28" i="1"/>
  <c r="B8" i="1"/>
  <c r="C35" i="1" l="1"/>
  <c r="D35" i="1"/>
  <c r="C26" i="1"/>
  <c r="D26" i="1"/>
  <c r="B35" i="1"/>
  <c r="B27" i="1"/>
  <c r="B26" i="1"/>
  <c r="I7" i="1" l="1"/>
  <c r="D41" i="1" l="1"/>
  <c r="E41" i="1"/>
  <c r="F41" i="1"/>
  <c r="G41" i="1"/>
  <c r="H41" i="1"/>
  <c r="I41" i="1"/>
  <c r="J41" i="1"/>
  <c r="K41" i="1"/>
  <c r="L41" i="1"/>
  <c r="M41" i="1"/>
  <c r="C41" i="1"/>
  <c r="C7" i="1" l="1"/>
  <c r="D7" i="1"/>
  <c r="E7" i="1"/>
  <c r="F7" i="1"/>
  <c r="G7" i="1"/>
  <c r="H7" i="1"/>
  <c r="J7" i="1"/>
  <c r="B7" i="1"/>
  <c r="B41" i="1"/>
  <c r="N41" i="1" s="1"/>
  <c r="B16" i="1" l="1"/>
  <c r="C16" i="1"/>
  <c r="C42" i="1" s="1"/>
  <c r="D16" i="1"/>
  <c r="D42" i="1" s="1"/>
  <c r="E16" i="1"/>
  <c r="E42" i="1" s="1"/>
  <c r="F16" i="1"/>
  <c r="F42" i="1" s="1"/>
  <c r="G16" i="1"/>
  <c r="G42" i="1" s="1"/>
  <c r="H16" i="1"/>
  <c r="H42" i="1" s="1"/>
  <c r="I16" i="1"/>
  <c r="I42" i="1" s="1"/>
  <c r="B42" i="1" l="1"/>
  <c r="B43" i="1" s="1"/>
  <c r="C5" i="1" s="1"/>
  <c r="C43" i="1" s="1"/>
  <c r="D5" i="1" s="1"/>
  <c r="D43" i="1" s="1"/>
  <c r="E5" i="1" s="1"/>
  <c r="B44" i="1"/>
  <c r="C6" i="1" l="1"/>
  <c r="C44" i="1" s="1"/>
  <c r="D6" i="1" s="1"/>
  <c r="D44" i="1" l="1"/>
  <c r="E6" i="1" s="1"/>
  <c r="E44" i="1" s="1"/>
  <c r="F6" i="1" s="1"/>
  <c r="F44" i="1" s="1"/>
  <c r="G6" i="1" s="1"/>
  <c r="G44" i="1" s="1"/>
  <c r="E43" i="1"/>
  <c r="F5" i="1" s="1"/>
  <c r="N39" i="1"/>
  <c r="H6" i="1" l="1"/>
  <c r="H44" i="1" s="1"/>
  <c r="F43" i="1"/>
  <c r="G5" i="1" s="1"/>
  <c r="N15" i="1"/>
  <c r="I6" i="1" l="1"/>
  <c r="I44" i="1" s="1"/>
  <c r="G43" i="1"/>
  <c r="H5" i="1" s="1"/>
  <c r="N40" i="1"/>
  <c r="J6" i="1" l="1"/>
  <c r="H43" i="1"/>
  <c r="I5" i="1" s="1"/>
  <c r="N6" i="1"/>
  <c r="N5" i="1"/>
  <c r="I43" i="1" l="1"/>
  <c r="J5" i="1" s="1"/>
  <c r="K16" i="1"/>
  <c r="K42" i="1" s="1"/>
  <c r="K7" i="1"/>
  <c r="N26" i="1"/>
  <c r="N27" i="1"/>
  <c r="N30" i="1"/>
  <c r="N31" i="1"/>
  <c r="N32" i="1"/>
  <c r="N33" i="1"/>
  <c r="N34" i="1"/>
  <c r="N35" i="1"/>
  <c r="N36" i="1"/>
  <c r="N24" i="1"/>
  <c r="L16" i="1"/>
  <c r="L42" i="1" s="1"/>
  <c r="M16" i="1"/>
  <c r="M42" i="1" s="1"/>
  <c r="M7" i="1"/>
  <c r="N14" i="1"/>
  <c r="L7" i="1" l="1"/>
  <c r="N7" i="1" s="1"/>
  <c r="J16" i="1" l="1"/>
  <c r="J44" i="1" s="1"/>
  <c r="N29" i="1"/>
  <c r="N23" i="1"/>
  <c r="N21" i="1"/>
  <c r="N20" i="1"/>
  <c r="N19" i="1"/>
  <c r="N8" i="1"/>
  <c r="N9" i="1"/>
  <c r="N10" i="1"/>
  <c r="J42" i="1" l="1"/>
  <c r="J43" i="1" s="1"/>
  <c r="K5" i="1" s="1"/>
  <c r="N16" i="1"/>
  <c r="N44" i="1" s="1"/>
  <c r="K6" i="1"/>
  <c r="K44" i="1" s="1"/>
  <c r="N11" i="1"/>
  <c r="N17" i="1"/>
  <c r="N18" i="1"/>
  <c r="N28" i="1"/>
  <c r="N42" i="1" l="1"/>
  <c r="N43" i="1" s="1"/>
  <c r="N38" i="1"/>
  <c r="K43" i="1" l="1"/>
  <c r="L5" i="1" s="1"/>
  <c r="L43" i="1" l="1"/>
  <c r="M5" i="1" s="1"/>
  <c r="L6" i="1"/>
  <c r="L44" i="1" s="1"/>
  <c r="M6" i="1" l="1"/>
  <c r="M44" i="1" s="1"/>
  <c r="M43" i="1"/>
</calcChain>
</file>

<file path=xl/sharedStrings.xml><?xml version="1.0" encoding="utf-8"?>
<sst xmlns="http://schemas.openxmlformats.org/spreadsheetml/2006/main" count="55" uniqueCount="47">
  <si>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</si>
  <si>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</si>
  <si>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</si>
  <si>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</si>
  <si>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</si>
  <si>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</si>
  <si>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</si>
  <si>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</si>
  <si>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</si>
  <si>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</si>
  <si>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</si>
  <si>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</si>
  <si>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</si>
  <si>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</si>
  <si>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</si>
  <si>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</si>
  <si>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</si>
  <si>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</si>
  <si>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</si>
  <si>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</si>
  <si>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</si>
  <si>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</si>
  <si>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</si>
  <si>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</si>
  <si>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</si>
  <si>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</si>
  <si>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</si>
  <si>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Вознаграждение, координация с советом МКД</t>
  </si>
  <si>
    <t>Отведение сточных вод ОИ</t>
  </si>
  <si>
    <t xml:space="preserve">Содержание жилья и текущий ремонт,  ОПУ </t>
  </si>
  <si>
    <t>Содержание жилья и текущий ремонт,  ОПУ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</si>
  <si>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</si>
  <si>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</si>
  <si>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</si>
  <si>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</si>
  <si>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</si>
  <si>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</si>
  <si>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</t>
  </si>
  <si>
    <t>Август 2025г</t>
  </si>
  <si>
    <t>Сентябрь 2025г</t>
  </si>
  <si>
    <t>Октябрь 2025г</t>
  </si>
  <si>
    <t>Ноябрь 2025г</t>
  </si>
  <si>
    <t>Декабрь 2025г.</t>
  </si>
  <si>
    <t>Всего:                       за  2025г</t>
  </si>
  <si>
    <t>Вознаграждение совета МКД</t>
  </si>
  <si>
    <t>Налоги с вознаграждения совета МКД</t>
  </si>
  <si>
    <t xml:space="preserve">                 ОТЧЕТ по дому Липового, 72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</si>
</sst>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topLeftCell="A11" zoomScale="75" workbookViewId="0">
      <selection activeCell="A11" sqref="A1:I1048576"/>
    </sheetView>
  </sheetViews>
  <sheetFormatPr defaultRowHeight="13.2" x14ac:dyDescent="0.25"/>
  <cols>
    <col min="1" max="1" width="58.6640625" customWidth="1"/>
    <col min="2" max="2" width="16.5546875" customWidth="1"/>
    <col min="3" max="3" width="14.5546875" customWidth="1"/>
    <col min="4" max="4" width="14" customWidth="1"/>
    <col min="5" max="5" width="14.109375" customWidth="1"/>
    <col min="6" max="6" width="13.88671875" customWidth="1"/>
    <col min="7" max="7" width="13.33203125" customWidth="1"/>
    <col min="8" max="8" width="13.5546875" customWidth="1"/>
    <col min="9" max="13" width="14.109375" customWidth="1"/>
    <col min="14" max="14" width="15.88671875" customWidth="1"/>
  </cols>
  <sheetData>
    <row r="1" spans="1:18" ht="20.25" customHeight="1" x14ac:dyDescent="0.35">
      <c r="A1" s="21" t="s">
        <v>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31</v>
      </c>
      <c r="C4" s="6" t="s">
        <v>32</v>
      </c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6" t="s">
        <v>40</v>
      </c>
      <c r="L4" s="6" t="s">
        <v>41</v>
      </c>
      <c r="M4" s="6" t="s">
        <v>42</v>
      </c>
      <c r="N4" s="6" t="s">
        <v>43</v>
      </c>
    </row>
    <row r="5" spans="1:18" ht="23.25" customHeight="1" thickBot="1" x14ac:dyDescent="0.3">
      <c r="A5" s="7" t="s">
        <v>16</v>
      </c>
      <c r="B5" s="8">
        <v>-375243.81</v>
      </c>
      <c r="C5" s="8">
        <f t="shared" ref="C5" si="0">B43</f>
        <v>-392715.13571999996</v>
      </c>
      <c r="D5" s="8">
        <f t="shared" ref="D5" si="1">C43</f>
        <v>-421672.66115999996</v>
      </c>
      <c r="E5" s="8">
        <f t="shared" ref="E5" si="2">D43</f>
        <v>-417610.50521999993</v>
      </c>
      <c r="F5" s="8">
        <f t="shared" ref="F5" si="3">E43</f>
        <v>-414685.02053999994</v>
      </c>
      <c r="G5" s="8">
        <f t="shared" ref="G5" si="4">F43</f>
        <v>-401415.23247999995</v>
      </c>
      <c r="H5" s="8">
        <f t="shared" ref="H5" si="5">G43</f>
        <v>-398682.50037999992</v>
      </c>
      <c r="I5" s="8">
        <f t="shared" ref="I5" si="6">H43</f>
        <v>-413045.49421999988</v>
      </c>
      <c r="J5" s="8">
        <f t="shared" ref="J5" si="7">I43</f>
        <v>-426090.16199999989</v>
      </c>
      <c r="K5" s="8">
        <f t="shared" ref="K5" si="8">J43</f>
        <v>-436655.31807999988</v>
      </c>
      <c r="L5" s="8">
        <f t="shared" ref="L5" si="9">K43</f>
        <v>-431159.44179999985</v>
      </c>
      <c r="M5" s="8">
        <f t="shared" ref="M5" si="10">L43</f>
        <v>-451201.24735999986</v>
      </c>
      <c r="N5" s="8">
        <f>B5</f>
        <v>-375243.81</v>
      </c>
    </row>
    <row r="6" spans="1:18" ht="21" customHeight="1" thickBot="1" x14ac:dyDescent="0.3">
      <c r="A6" s="7" t="s">
        <v>13</v>
      </c>
      <c r="B6" s="8">
        <v>-159673.12</v>
      </c>
      <c r="C6" s="8">
        <f t="shared" ref="C6:M6" si="11">B44</f>
        <v>-176730.47999999998</v>
      </c>
      <c r="D6" s="8">
        <f t="shared" si="11"/>
        <v>-193156.65999999997</v>
      </c>
      <c r="E6" s="8">
        <f t="shared" si="11"/>
        <v>-213182.59999999998</v>
      </c>
      <c r="F6" s="8">
        <f t="shared" si="11"/>
        <v>-215454.96</v>
      </c>
      <c r="G6" s="8">
        <f t="shared" si="11"/>
        <v>-212275.65999999997</v>
      </c>
      <c r="H6" s="8">
        <f t="shared" si="11"/>
        <v>-214866.08999999997</v>
      </c>
      <c r="I6" s="8">
        <f t="shared" si="11"/>
        <v>-215678.08999999997</v>
      </c>
      <c r="J6" s="8">
        <f t="shared" si="11"/>
        <v>-250125.82</v>
      </c>
      <c r="K6" s="8">
        <f t="shared" si="11"/>
        <v>-268166.23000000004</v>
      </c>
      <c r="L6" s="8">
        <f t="shared" si="11"/>
        <v>-280057.88</v>
      </c>
      <c r="M6" s="8">
        <f t="shared" si="11"/>
        <v>-295689.58</v>
      </c>
      <c r="N6" s="8">
        <f>B6</f>
        <v>-159673.12</v>
      </c>
    </row>
    <row r="7" spans="1:18" ht="20.25" customHeight="1" thickBot="1" x14ac:dyDescent="0.3">
      <c r="A7" s="9" t="s">
        <v>12</v>
      </c>
      <c r="B7" s="10">
        <f t="shared" ref="B7:M7" si="12">SUM(B8:B15)</f>
        <v>70529.23</v>
      </c>
      <c r="C7" s="10">
        <f t="shared" si="12"/>
        <v>77837.460000000006</v>
      </c>
      <c r="D7" s="10">
        <f t="shared" si="12"/>
        <v>84260.21</v>
      </c>
      <c r="E7" s="10">
        <f t="shared" si="12"/>
        <v>69574.920000000013</v>
      </c>
      <c r="F7" s="10">
        <f t="shared" si="12"/>
        <v>73714.48</v>
      </c>
      <c r="G7" s="10">
        <f t="shared" si="12"/>
        <v>69112.710000000006</v>
      </c>
      <c r="H7" s="10">
        <f t="shared" si="12"/>
        <v>73480.37</v>
      </c>
      <c r="I7" s="10">
        <f t="shared" si="12"/>
        <v>96160.970000000016</v>
      </c>
      <c r="J7" s="10">
        <f t="shared" si="12"/>
        <v>101613.52</v>
      </c>
      <c r="K7" s="10">
        <f t="shared" si="12"/>
        <v>108362.79</v>
      </c>
      <c r="L7" s="10">
        <f t="shared" si="12"/>
        <v>113082.46</v>
      </c>
      <c r="M7" s="10">
        <f t="shared" si="12"/>
        <v>142683.38</v>
      </c>
      <c r="N7" s="10">
        <f>SUM(B7:M7)</f>
        <v>1080412.5</v>
      </c>
    </row>
    <row r="8" spans="1:18" ht="24.75" customHeight="1" thickBot="1" x14ac:dyDescent="0.3">
      <c r="A8" s="4" t="s">
        <v>29</v>
      </c>
      <c r="B8" s="11">
        <f t="shared" ref="B8:G8" si="13">53112.7+1486.6</f>
        <v>54599.299999999996</v>
      </c>
      <c r="C8" s="11">
        <f t="shared" si="13"/>
        <v>54599.299999999996</v>
      </c>
      <c r="D8" s="11">
        <f t="shared" si="13"/>
        <v>54599.299999999996</v>
      </c>
      <c r="E8" s="11">
        <f t="shared" si="13"/>
        <v>54599.299999999996</v>
      </c>
      <c r="F8" s="11">
        <f t="shared" si="13"/>
        <v>54599.299999999996</v>
      </c>
      <c r="G8" s="11">
        <f t="shared" si="13"/>
        <v>54599.299999999996</v>
      </c>
      <c r="H8" s="11">
        <f>53112.7+1486.6</f>
        <v>54599.299999999996</v>
      </c>
      <c r="I8" s="11">
        <f>69337.5+1486.6</f>
        <v>70824.100000000006</v>
      </c>
      <c r="J8" s="11">
        <f>69337.5+1486.6</f>
        <v>70824.100000000006</v>
      </c>
      <c r="K8" s="11">
        <f>69337.5+1486.6</f>
        <v>70824.100000000006</v>
      </c>
      <c r="L8" s="11">
        <f>69337.5+1486.6</f>
        <v>70824.100000000006</v>
      </c>
      <c r="M8" s="11">
        <f>69337.5+1486.6</f>
        <v>70824.100000000006</v>
      </c>
      <c r="N8" s="11">
        <f t="shared" ref="N8:N24" si="14">SUM(B8:M8)</f>
        <v>736315.59999999986</v>
      </c>
    </row>
    <row r="9" spans="1:18" ht="24.75" customHeight="1" thickBot="1" x14ac:dyDescent="0.3">
      <c r="A9" s="4" t="s">
        <v>17</v>
      </c>
      <c r="B9" s="11">
        <f t="shared" ref="B9:G9" si="15">8845.39+4247.47</f>
        <v>13092.86</v>
      </c>
      <c r="C9" s="11">
        <f t="shared" si="15"/>
        <v>13092.86</v>
      </c>
      <c r="D9" s="11">
        <f t="shared" si="15"/>
        <v>13092.86</v>
      </c>
      <c r="E9" s="11">
        <f t="shared" si="15"/>
        <v>13092.86</v>
      </c>
      <c r="F9" s="11">
        <f t="shared" si="15"/>
        <v>13092.86</v>
      </c>
      <c r="G9" s="11">
        <f t="shared" si="15"/>
        <v>13092.86</v>
      </c>
      <c r="H9" s="11">
        <f>8845.39+4247.47</f>
        <v>13092.86</v>
      </c>
      <c r="I9" s="11">
        <f>11547.5+5545</f>
        <v>17092.5</v>
      </c>
      <c r="J9" s="11">
        <f>11547.5+5545</f>
        <v>17092.5</v>
      </c>
      <c r="K9" s="11">
        <f>11547.5+5545</f>
        <v>17092.5</v>
      </c>
      <c r="L9" s="11">
        <f>11547.5+5545</f>
        <v>17092.5</v>
      </c>
      <c r="M9" s="11">
        <f>11547.5+5545</f>
        <v>17092.5</v>
      </c>
      <c r="N9" s="11">
        <f t="shared" si="14"/>
        <v>177112.52000000002</v>
      </c>
    </row>
    <row r="10" spans="1:18" ht="24.75" customHeight="1" thickBot="1" x14ac:dyDescent="0.3">
      <c r="A10" s="4" t="s">
        <v>18</v>
      </c>
      <c r="B10" s="11">
        <f>160.02+27.71+13.31</f>
        <v>201.04000000000002</v>
      </c>
      <c r="C10" s="11">
        <f>7432.26+1237.89+594.42</f>
        <v>9264.57</v>
      </c>
      <c r="D10" s="11">
        <f>3776.83+623.57+299.43</f>
        <v>4699.83</v>
      </c>
      <c r="E10" s="11">
        <f>846.54+143.19+68.76</f>
        <v>1058.49</v>
      </c>
      <c r="F10" s="11">
        <f>4174.71+692.85+332.7</f>
        <v>5200.26</v>
      </c>
      <c r="G10" s="11">
        <f>539.57+87.76</f>
        <v>627.33000000000004</v>
      </c>
      <c r="H10" s="11">
        <f>3934.26+655.9+314.96</f>
        <v>4905.12</v>
      </c>
      <c r="I10" s="11">
        <f>1314.12+217.09+104.25</f>
        <v>1635.4599999999998</v>
      </c>
      <c r="J10" s="11">
        <f>5686.42+946.9+454.69</f>
        <v>7088.0099999999993</v>
      </c>
      <c r="K10" s="11">
        <f>10212.14+1699.79+816.22</f>
        <v>12728.15</v>
      </c>
      <c r="L10" s="11">
        <f>14194.39+2360.31+1133.4</f>
        <v>17688.100000000002</v>
      </c>
      <c r="M10" s="11">
        <f>34474.56+5741.42+2756.97</f>
        <v>42972.95</v>
      </c>
      <c r="N10" s="11">
        <f t="shared" si="14"/>
        <v>108069.31</v>
      </c>
    </row>
    <row r="11" spans="1:18" ht="24.75" customHeight="1" thickBot="1" x14ac:dyDescent="0.3">
      <c r="A11" s="4" t="s">
        <v>19</v>
      </c>
      <c r="B11" s="11">
        <f>180.78+32.33+15.53</f>
        <v>228.64000000000001</v>
      </c>
      <c r="C11" s="11">
        <f>180.78+32.33+15.53</f>
        <v>228.64000000000001</v>
      </c>
      <c r="D11" s="11">
        <f>180.78+32.33+13.31</f>
        <v>226.42000000000002</v>
      </c>
      <c r="E11" s="11">
        <f>180.78+32.33+13.31</f>
        <v>226.42000000000002</v>
      </c>
      <c r="F11" s="11">
        <f>180.78+32.33+13.31</f>
        <v>226.42000000000002</v>
      </c>
      <c r="G11" s="11">
        <f>180.78+32.33</f>
        <v>213.11</v>
      </c>
      <c r="H11" s="11">
        <f>234.98+36.95+17.74</f>
        <v>289.67</v>
      </c>
      <c r="I11" s="11">
        <f>234.98+36.95+17.74</f>
        <v>289.67</v>
      </c>
      <c r="J11" s="11">
        <f>234.98+36.95+17.74</f>
        <v>289.67</v>
      </c>
      <c r="K11" s="11">
        <f>234.98+36.95+17.74</f>
        <v>289.67</v>
      </c>
      <c r="L11" s="11">
        <f>234.98+36.95+17.74</f>
        <v>289.67</v>
      </c>
      <c r="M11" s="11">
        <f>234.98+36.95+17.74</f>
        <v>289.67</v>
      </c>
      <c r="N11" s="11">
        <f t="shared" si="14"/>
        <v>3087.6700000000005</v>
      </c>
    </row>
    <row r="12" spans="1:18" ht="24.75" customHeight="1" thickBot="1" x14ac:dyDescent="0.3">
      <c r="A12" s="4" t="s">
        <v>20</v>
      </c>
      <c r="B12" s="11">
        <f>651.19+106.24+51.01</f>
        <v>808.44</v>
      </c>
      <c r="C12" s="11">
        <v>0</v>
      </c>
      <c r="D12" s="11">
        <f>8862.95+1473.46+707.54</f>
        <v>11043.95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f t="shared" si="14"/>
        <v>11852.390000000001</v>
      </c>
    </row>
    <row r="13" spans="1:18" ht="24.75" customHeight="1" thickBot="1" x14ac:dyDescent="0.3">
      <c r="A13" s="4" t="s">
        <v>28</v>
      </c>
      <c r="B13" s="11">
        <f>989.65+161.67+77.63</f>
        <v>1228.9499999999998</v>
      </c>
      <c r="C13" s="11">
        <f>227.4+36.95+17.74</f>
        <v>282.09000000000003</v>
      </c>
      <c r="D13" s="11">
        <f>182.4+27.71+17.74</f>
        <v>227.85000000000002</v>
      </c>
      <c r="E13" s="11">
        <f>182.4+27.71+17.74</f>
        <v>227.85000000000002</v>
      </c>
      <c r="F13" s="11">
        <f>182.4+27.71+15.53</f>
        <v>225.64000000000001</v>
      </c>
      <c r="G13" s="11">
        <f>182.4+27.71</f>
        <v>210.11</v>
      </c>
      <c r="H13" s="11">
        <f>182.4+27.71+13.31</f>
        <v>223.42000000000002</v>
      </c>
      <c r="I13" s="11">
        <f>201.38+32.33+15.53</f>
        <v>249.23999999999998</v>
      </c>
      <c r="J13" s="11">
        <f>201.38+32.33+15.53</f>
        <v>249.23999999999998</v>
      </c>
      <c r="K13" s="11">
        <f>1250.7+207.86+99.81</f>
        <v>1558.37</v>
      </c>
      <c r="L13" s="11">
        <f>1058.29+175.52+84.28</f>
        <v>1318.09</v>
      </c>
      <c r="M13" s="11">
        <f>4519.73+752.9+361.53</f>
        <v>5634.1599999999989</v>
      </c>
      <c r="N13" s="11">
        <f t="shared" si="14"/>
        <v>11635.009999999998</v>
      </c>
    </row>
    <row r="14" spans="1:18" ht="24.75" customHeight="1" thickBot="1" x14ac:dyDescent="0.3">
      <c r="A14" s="4" t="s">
        <v>27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5700</v>
      </c>
      <c r="J14" s="11">
        <v>5700</v>
      </c>
      <c r="K14" s="11">
        <v>5700</v>
      </c>
      <c r="L14" s="11">
        <v>5700</v>
      </c>
      <c r="M14" s="11">
        <v>5700</v>
      </c>
      <c r="N14" s="11">
        <f t="shared" si="14"/>
        <v>28500</v>
      </c>
    </row>
    <row r="15" spans="1:18" ht="24.75" customHeight="1" thickBot="1" x14ac:dyDescent="0.3">
      <c r="A15" s="4" t="s">
        <v>15</v>
      </c>
      <c r="B15" s="11">
        <f>670-300</f>
        <v>370</v>
      </c>
      <c r="C15" s="11">
        <f t="shared" ref="C15:J15" si="16">670-300</f>
        <v>370</v>
      </c>
      <c r="D15" s="11">
        <f t="shared" si="16"/>
        <v>370</v>
      </c>
      <c r="E15" s="11">
        <f t="shared" si="16"/>
        <v>370</v>
      </c>
      <c r="F15" s="11">
        <f t="shared" si="16"/>
        <v>370</v>
      </c>
      <c r="G15" s="11">
        <f t="shared" si="16"/>
        <v>370</v>
      </c>
      <c r="H15" s="11">
        <f t="shared" si="16"/>
        <v>370</v>
      </c>
      <c r="I15" s="11">
        <f t="shared" si="16"/>
        <v>370</v>
      </c>
      <c r="J15" s="11">
        <f t="shared" si="16"/>
        <v>370</v>
      </c>
      <c r="K15" s="11">
        <v>170</v>
      </c>
      <c r="L15" s="11">
        <v>170</v>
      </c>
      <c r="M15" s="11">
        <v>170</v>
      </c>
      <c r="N15" s="11">
        <f t="shared" si="14"/>
        <v>3840</v>
      </c>
    </row>
    <row r="16" spans="1:18" ht="20.25" customHeight="1" thickBot="1" x14ac:dyDescent="0.3">
      <c r="A16" s="12" t="s">
        <v>8</v>
      </c>
      <c r="B16" s="13">
        <f t="shared" ref="B16:M16" si="17">SUM(B17:B24)</f>
        <v>53471.87</v>
      </c>
      <c r="C16" s="13">
        <f t="shared" si="17"/>
        <v>61411.28</v>
      </c>
      <c r="D16" s="13">
        <f t="shared" si="17"/>
        <v>64234.270000000004</v>
      </c>
      <c r="E16" s="13">
        <f t="shared" si="17"/>
        <v>67302.559999999998</v>
      </c>
      <c r="F16" s="13">
        <f t="shared" si="17"/>
        <v>76893.78</v>
      </c>
      <c r="G16" s="13">
        <f t="shared" si="17"/>
        <v>66522.28</v>
      </c>
      <c r="H16" s="13">
        <f t="shared" si="17"/>
        <v>72668.37000000001</v>
      </c>
      <c r="I16" s="13">
        <f t="shared" si="17"/>
        <v>61713.240000000005</v>
      </c>
      <c r="J16" s="13">
        <f t="shared" si="17"/>
        <v>83573.11</v>
      </c>
      <c r="K16" s="13">
        <f t="shared" si="17"/>
        <v>96471.14</v>
      </c>
      <c r="L16" s="13">
        <f t="shared" si="17"/>
        <v>97450.76</v>
      </c>
      <c r="M16" s="13">
        <f t="shared" si="17"/>
        <v>96566.180000000008</v>
      </c>
      <c r="N16" s="13">
        <f>SUM(B16:M16)</f>
        <v>898278.84000000008</v>
      </c>
    </row>
    <row r="17" spans="1:15" ht="24" customHeight="1" thickBot="1" x14ac:dyDescent="0.3">
      <c r="A17" s="4" t="s">
        <v>30</v>
      </c>
      <c r="B17" s="11">
        <f>541.42+49287.46+1119.66</f>
        <v>50948.54</v>
      </c>
      <c r="C17" s="11">
        <f>49219.83+1092</f>
        <v>50311.83</v>
      </c>
      <c r="D17" s="11">
        <f>45284.37+1007.37</f>
        <v>46291.740000000005</v>
      </c>
      <c r="E17" s="11">
        <f>52941.92+1256.35</f>
        <v>54198.27</v>
      </c>
      <c r="F17" s="11">
        <f>53167.21+1230</f>
        <v>54397.21</v>
      </c>
      <c r="G17" s="11">
        <f>51313.51+1115.9</f>
        <v>52429.41</v>
      </c>
      <c r="H17" s="11">
        <f>60014.94+1367.39</f>
        <v>61382.33</v>
      </c>
      <c r="I17" s="11">
        <f>47335.44+981</f>
        <v>48316.44</v>
      </c>
      <c r="J17" s="11">
        <f>62315.61+1112.94</f>
        <v>63428.55</v>
      </c>
      <c r="K17" s="11">
        <f>71287.27+1229.21</f>
        <v>72516.48000000001</v>
      </c>
      <c r="L17" s="11">
        <f>66815.6+1164.14</f>
        <v>67979.740000000005</v>
      </c>
      <c r="M17" s="11">
        <f>61644.47+1082.42</f>
        <v>62726.89</v>
      </c>
      <c r="N17" s="11">
        <f t="shared" si="14"/>
        <v>684927.43</v>
      </c>
    </row>
    <row r="18" spans="1:15" ht="26.25" customHeight="1" thickBot="1" x14ac:dyDescent="0.3">
      <c r="A18" s="4" t="s">
        <v>17</v>
      </c>
      <c r="B18" s="11">
        <v>0</v>
      </c>
      <c r="C18" s="11">
        <v>8845.39</v>
      </c>
      <c r="D18" s="11">
        <v>8845.39</v>
      </c>
      <c r="E18" s="11">
        <v>0</v>
      </c>
      <c r="F18" s="11">
        <f>8845.39*2</f>
        <v>17690.78</v>
      </c>
      <c r="G18" s="11">
        <v>8845.39</v>
      </c>
      <c r="H18" s="11">
        <v>8845.39</v>
      </c>
      <c r="I18" s="11">
        <v>8845.39</v>
      </c>
      <c r="J18" s="11">
        <v>11547.5</v>
      </c>
      <c r="K18" s="11">
        <v>11547.5</v>
      </c>
      <c r="L18" s="11">
        <v>11547.5</v>
      </c>
      <c r="M18" s="11">
        <v>11547.5</v>
      </c>
      <c r="N18" s="11">
        <f t="shared" si="14"/>
        <v>108107.73</v>
      </c>
    </row>
    <row r="19" spans="1:15" ht="26.25" customHeight="1" thickBot="1" x14ac:dyDescent="0.3">
      <c r="A19" s="4" t="s">
        <v>18</v>
      </c>
      <c r="B19" s="11">
        <v>340.83</v>
      </c>
      <c r="C19" s="11">
        <f>195.24+27.71</f>
        <v>222.95000000000002</v>
      </c>
      <c r="D19" s="11">
        <f>7294.05+1237.89</f>
        <v>8531.94</v>
      </c>
      <c r="E19" s="11">
        <v>3627.54</v>
      </c>
      <c r="F19" s="11">
        <f>1447.15+623.57+143.19</f>
        <v>2213.9100000000003</v>
      </c>
      <c r="G19" s="11">
        <f>3720.85+692.85+42.14</f>
        <v>4455.84</v>
      </c>
      <c r="H19" s="11">
        <f>1389.85+87.76</f>
        <v>1477.61</v>
      </c>
      <c r="I19" s="11">
        <f>3281.9+655.9</f>
        <v>3937.8</v>
      </c>
      <c r="J19" s="11">
        <f>1339.78+217.09</f>
        <v>1556.87</v>
      </c>
      <c r="K19" s="11">
        <f>5313.52+946.9</f>
        <v>6260.42</v>
      </c>
      <c r="L19" s="11">
        <f>9084.28+1699.79</f>
        <v>10784.07</v>
      </c>
      <c r="M19" s="11">
        <f>12608.54+2360.31</f>
        <v>14968.85</v>
      </c>
      <c r="N19" s="11">
        <f t="shared" si="14"/>
        <v>58378.63</v>
      </c>
    </row>
    <row r="20" spans="1:15" ht="26.25" customHeight="1" thickBot="1" x14ac:dyDescent="0.3">
      <c r="A20" s="4" t="s">
        <v>19</v>
      </c>
      <c r="B20" s="11">
        <v>167.58</v>
      </c>
      <c r="C20" s="11">
        <f>167.62+32.33</f>
        <v>199.95</v>
      </c>
      <c r="D20" s="11">
        <f>154.1+32.33</f>
        <v>186.43</v>
      </c>
      <c r="E20" s="11">
        <v>180.19</v>
      </c>
      <c r="F20" s="11">
        <f>180.93+32.33*2</f>
        <v>245.59</v>
      </c>
      <c r="G20" s="11">
        <f>174.59+32.33+15.53</f>
        <v>222.45000000000002</v>
      </c>
      <c r="H20" s="11">
        <f>206.09+32.33</f>
        <v>238.42000000000002</v>
      </c>
      <c r="I20" s="11">
        <f>204.23+36.95</f>
        <v>241.18</v>
      </c>
      <c r="J20" s="11">
        <f>213.88+36.95</f>
        <v>250.82999999999998</v>
      </c>
      <c r="K20" s="11">
        <f>242.73+36.95</f>
        <v>279.68</v>
      </c>
      <c r="L20" s="11">
        <f>227.47+36.95</f>
        <v>264.42</v>
      </c>
      <c r="M20" s="11">
        <f>205.79+36.95</f>
        <v>242.74</v>
      </c>
      <c r="N20" s="11">
        <f t="shared" si="14"/>
        <v>2719.46</v>
      </c>
    </row>
    <row r="21" spans="1:15" ht="26.25" customHeight="1" thickBot="1" x14ac:dyDescent="0.3">
      <c r="A21" s="4" t="s">
        <v>20</v>
      </c>
      <c r="B21" s="11">
        <v>6.25</v>
      </c>
      <c r="C21" s="11">
        <f>562.92+106.24</f>
        <v>669.16</v>
      </c>
      <c r="D21" s="11">
        <v>12.27</v>
      </c>
      <c r="E21" s="11">
        <v>7800.28</v>
      </c>
      <c r="F21" s="11">
        <f>441.09+1473.46</f>
        <v>1914.55</v>
      </c>
      <c r="G21" s="11">
        <v>224.07</v>
      </c>
      <c r="H21" s="11">
        <v>363.82</v>
      </c>
      <c r="I21" s="11">
        <v>68.87</v>
      </c>
      <c r="J21" s="11">
        <v>18.600000000000001</v>
      </c>
      <c r="K21" s="11">
        <v>178.03</v>
      </c>
      <c r="L21" s="11">
        <v>0</v>
      </c>
      <c r="M21" s="11">
        <v>9.77</v>
      </c>
      <c r="N21" s="11">
        <f t="shared" si="14"/>
        <v>11265.67</v>
      </c>
    </row>
    <row r="22" spans="1:15" ht="26.25" customHeight="1" thickBot="1" x14ac:dyDescent="0.3">
      <c r="A22" s="4" t="s">
        <v>28</v>
      </c>
      <c r="B22" s="11">
        <v>1908.67</v>
      </c>
      <c r="C22" s="11">
        <f>900.33+161.67</f>
        <v>1062</v>
      </c>
      <c r="D22" s="11">
        <f>229.55+36.95</f>
        <v>266.5</v>
      </c>
      <c r="E22" s="11">
        <v>276.27999999999997</v>
      </c>
      <c r="F22" s="11">
        <f>276.32+27.71*2</f>
        <v>331.74</v>
      </c>
      <c r="G22" s="11">
        <f>204.1+27.71+13.31</f>
        <v>245.12</v>
      </c>
      <c r="H22" s="11">
        <f>233.09+27.71</f>
        <v>260.8</v>
      </c>
      <c r="I22" s="11">
        <f>175.85+27.71</f>
        <v>203.56</v>
      </c>
      <c r="J22" s="11">
        <f>188.43+32.33</f>
        <v>220.76</v>
      </c>
      <c r="K22" s="11">
        <f>235.36+32.33</f>
        <v>267.69</v>
      </c>
      <c r="L22" s="11">
        <f>1104.93+207.86</f>
        <v>1312.79</v>
      </c>
      <c r="M22" s="11">
        <f>994.91+175.52</f>
        <v>1170.43</v>
      </c>
      <c r="N22" s="11">
        <f t="shared" si="14"/>
        <v>7526.34</v>
      </c>
    </row>
    <row r="23" spans="1:15" ht="26.25" customHeight="1" thickBot="1" x14ac:dyDescent="0.3">
      <c r="A23" s="4" t="s">
        <v>27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5050</v>
      </c>
      <c r="K23" s="11">
        <v>5321.34</v>
      </c>
      <c r="L23" s="11">
        <v>5462.24</v>
      </c>
      <c r="M23" s="11">
        <v>5100</v>
      </c>
      <c r="N23" s="11">
        <f t="shared" si="14"/>
        <v>20933.580000000002</v>
      </c>
    </row>
    <row r="24" spans="1:15" ht="26.25" customHeight="1" thickBot="1" x14ac:dyDescent="0.3">
      <c r="A24" s="4" t="s">
        <v>15</v>
      </c>
      <c r="B24" s="14">
        <f>400-300</f>
        <v>100</v>
      </c>
      <c r="C24" s="14">
        <f t="shared" ref="C24:D24" si="18">400-300</f>
        <v>100</v>
      </c>
      <c r="D24" s="14">
        <f t="shared" si="18"/>
        <v>100</v>
      </c>
      <c r="E24" s="14">
        <f>1520-300</f>
        <v>1220</v>
      </c>
      <c r="F24" s="14">
        <f>400-300</f>
        <v>100</v>
      </c>
      <c r="G24" s="14">
        <f>400-300</f>
        <v>100</v>
      </c>
      <c r="H24" s="14">
        <f t="shared" ref="H24:I24" si="19">400-300</f>
        <v>100</v>
      </c>
      <c r="I24" s="14">
        <f t="shared" si="19"/>
        <v>100</v>
      </c>
      <c r="J24" s="14">
        <v>1500</v>
      </c>
      <c r="K24" s="11">
        <v>100</v>
      </c>
      <c r="L24" s="11">
        <v>100</v>
      </c>
      <c r="M24" s="11">
        <v>800</v>
      </c>
      <c r="N24" s="11">
        <f t="shared" si="14"/>
        <v>4420</v>
      </c>
      <c r="O24" s="3"/>
    </row>
    <row r="25" spans="1:15" ht="21.75" customHeight="1" thickBot="1" x14ac:dyDescent="0.3">
      <c r="A25" s="15" t="s">
        <v>25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 t="shared" ref="B26:M26" si="20">3457.2*0.6</f>
        <v>2074.3199999999997</v>
      </c>
      <c r="C26" s="11">
        <f t="shared" si="20"/>
        <v>2074.3199999999997</v>
      </c>
      <c r="D26" s="11">
        <f t="shared" si="20"/>
        <v>2074.3199999999997</v>
      </c>
      <c r="E26" s="11">
        <f t="shared" si="20"/>
        <v>2074.3199999999997</v>
      </c>
      <c r="F26" s="11">
        <f t="shared" si="20"/>
        <v>2074.3199999999997</v>
      </c>
      <c r="G26" s="11">
        <f t="shared" si="20"/>
        <v>2074.3199999999997</v>
      </c>
      <c r="H26" s="11">
        <f t="shared" si="20"/>
        <v>2074.3199999999997</v>
      </c>
      <c r="I26" s="11">
        <f t="shared" si="20"/>
        <v>2074.3199999999997</v>
      </c>
      <c r="J26" s="11">
        <f t="shared" si="20"/>
        <v>2074.3199999999997</v>
      </c>
      <c r="K26" s="11">
        <f t="shared" si="20"/>
        <v>2074.3199999999997</v>
      </c>
      <c r="L26" s="11">
        <f t="shared" si="20"/>
        <v>2074.3199999999997</v>
      </c>
      <c r="M26" s="11">
        <f t="shared" si="20"/>
        <v>2074.3199999999997</v>
      </c>
      <c r="N26" s="11">
        <f t="shared" ref="N26:N40" si="21">SUM(B26:M26)</f>
        <v>24891.839999999997</v>
      </c>
    </row>
    <row r="27" spans="1:15" ht="22.5" customHeight="1" thickBot="1" x14ac:dyDescent="0.3">
      <c r="A27" s="4" t="s">
        <v>2</v>
      </c>
      <c r="B27" s="11">
        <f t="shared" ref="B27" si="22">3457.2*0.17</f>
        <v>587.72400000000005</v>
      </c>
      <c r="C27" s="11">
        <f>3457.2*0.2</f>
        <v>691.44</v>
      </c>
      <c r="D27" s="11">
        <f>3457.2*0.2</f>
        <v>691.44</v>
      </c>
      <c r="E27" s="11">
        <f t="shared" ref="E27:M27" si="23">3457.2*0.2</f>
        <v>691.44</v>
      </c>
      <c r="F27" s="11">
        <f t="shared" si="23"/>
        <v>691.44</v>
      </c>
      <c r="G27" s="11">
        <f t="shared" si="23"/>
        <v>691.44</v>
      </c>
      <c r="H27" s="11">
        <f t="shared" si="23"/>
        <v>691.44</v>
      </c>
      <c r="I27" s="11">
        <f t="shared" si="23"/>
        <v>691.44</v>
      </c>
      <c r="J27" s="11">
        <f t="shared" si="23"/>
        <v>691.44</v>
      </c>
      <c r="K27" s="11">
        <f t="shared" si="23"/>
        <v>691.44</v>
      </c>
      <c r="L27" s="11">
        <f t="shared" si="23"/>
        <v>691.44</v>
      </c>
      <c r="M27" s="11">
        <f t="shared" si="23"/>
        <v>691.44</v>
      </c>
      <c r="N27" s="11">
        <f t="shared" si="21"/>
        <v>8193.5640000000021</v>
      </c>
    </row>
    <row r="28" spans="1:15" ht="21" customHeight="1" thickBot="1" x14ac:dyDescent="0.3">
      <c r="A28" s="4" t="s">
        <v>3</v>
      </c>
      <c r="B28" s="11">
        <f>56580.94*2.3%</f>
        <v>1301.3616200000001</v>
      </c>
      <c r="C28" s="11">
        <f>62439.74*2.6%</f>
        <v>1623.4332400000001</v>
      </c>
      <c r="D28" s="11">
        <f>67602.26*2.6%</f>
        <v>1757.65876</v>
      </c>
      <c r="E28" s="11">
        <f>55809.02*2.6%</f>
        <v>1451.0345200000002</v>
      </c>
      <c r="F28" s="11">
        <f>59137.19*2.6%</f>
        <v>1537.5669400000002</v>
      </c>
      <c r="G28" s="11">
        <f>55502.05*2.6%</f>
        <v>1443.0533000000003</v>
      </c>
      <c r="H28" s="11">
        <f>58950.94*2.6%</f>
        <v>1532.7244400000002</v>
      </c>
      <c r="I28" s="11">
        <f>78274.58*2.6%</f>
        <v>2035.1390800000001</v>
      </c>
      <c r="J28" s="11">
        <f>82646.88*2.6%</f>
        <v>2148.8188800000003</v>
      </c>
      <c r="K28" s="11">
        <f>88221.92*2.6%</f>
        <v>2293.7699200000002</v>
      </c>
      <c r="L28" s="11">
        <f>92011.76*2.6%</f>
        <v>2392.3057600000002</v>
      </c>
      <c r="M28" s="11">
        <f>115753.37*2.6%</f>
        <v>3009.5876200000002</v>
      </c>
      <c r="N28" s="11">
        <f t="shared" si="21"/>
        <v>22526.454080000003</v>
      </c>
    </row>
    <row r="29" spans="1:15" ht="23.25" customHeight="1" thickBot="1" x14ac:dyDescent="0.3">
      <c r="A29" s="4" t="s">
        <v>4</v>
      </c>
      <c r="B29" s="11">
        <f>53371.87*3%</f>
        <v>1601.1560999999999</v>
      </c>
      <c r="C29" s="11">
        <f>52137.94*3%</f>
        <v>1564.1382000000001</v>
      </c>
      <c r="D29" s="11">
        <f>53981.71*3%</f>
        <v>1619.4512999999999</v>
      </c>
      <c r="E29" s="11">
        <f>66082.56*3%</f>
        <v>1982.4767999999999</v>
      </c>
      <c r="F29" s="11">
        <f>56742.7*3%</f>
        <v>1702.2809999999999</v>
      </c>
      <c r="G29" s="11">
        <f>56753.02*3%</f>
        <v>1702.5905999999998</v>
      </c>
      <c r="H29" s="11">
        <f>63575.18*3%</f>
        <v>1907.2554</v>
      </c>
      <c r="I29" s="11">
        <f>52047.29*3%</f>
        <v>1561.4186999999999</v>
      </c>
      <c r="J29" s="11">
        <f>70239.24*3%</f>
        <v>2107.1772000000001</v>
      </c>
      <c r="K29" s="11">
        <f>83807.46*3%</f>
        <v>2514.2238000000002</v>
      </c>
      <c r="L29" s="11">
        <f>83858.66*3%</f>
        <v>2515.7597999999998</v>
      </c>
      <c r="M29" s="11">
        <f>81645.9*3%</f>
        <v>2449.377</v>
      </c>
      <c r="N29" s="11">
        <f t="shared" si="21"/>
        <v>23227.305900000003</v>
      </c>
    </row>
    <row r="30" spans="1:15" ht="23.25" customHeight="1" thickBot="1" x14ac:dyDescent="0.3">
      <c r="A30" s="4" t="s">
        <v>9</v>
      </c>
      <c r="B30" s="20">
        <f>3457.2*12</f>
        <v>41486.399999999994</v>
      </c>
      <c r="C30" s="20">
        <f t="shared" ref="C30:M30" si="24">3457.2*12</f>
        <v>41486.399999999994</v>
      </c>
      <c r="D30" s="20">
        <f t="shared" si="24"/>
        <v>41486.399999999994</v>
      </c>
      <c r="E30" s="20">
        <f t="shared" si="24"/>
        <v>41486.399999999994</v>
      </c>
      <c r="F30" s="20">
        <f t="shared" si="24"/>
        <v>41486.399999999994</v>
      </c>
      <c r="G30" s="20">
        <f t="shared" si="24"/>
        <v>41486.399999999994</v>
      </c>
      <c r="H30" s="20">
        <f t="shared" si="24"/>
        <v>41486.399999999994</v>
      </c>
      <c r="I30" s="20">
        <f t="shared" si="24"/>
        <v>41486.399999999994</v>
      </c>
      <c r="J30" s="20">
        <f t="shared" si="24"/>
        <v>41486.399999999994</v>
      </c>
      <c r="K30" s="20">
        <f t="shared" si="24"/>
        <v>41486.399999999994</v>
      </c>
      <c r="L30" s="20">
        <f t="shared" si="24"/>
        <v>41486.399999999994</v>
      </c>
      <c r="M30" s="20">
        <f t="shared" si="24"/>
        <v>41486.399999999994</v>
      </c>
      <c r="N30" s="11">
        <f t="shared" si="21"/>
        <v>497836.80000000005</v>
      </c>
    </row>
    <row r="31" spans="1:15" ht="26.25" customHeight="1" thickBot="1" x14ac:dyDescent="0.3">
      <c r="A31" s="4" t="s">
        <v>21</v>
      </c>
      <c r="B31" s="11">
        <f>8289.28+975.09</f>
        <v>9264.3700000000008</v>
      </c>
      <c r="C31" s="11">
        <f>4189.57+492.83</f>
        <v>4682.3999999999996</v>
      </c>
      <c r="D31" s="11">
        <f>944.12+111.06</f>
        <v>1055.18</v>
      </c>
      <c r="E31" s="11">
        <f>4656.02+547.72</f>
        <v>5203.7400000000007</v>
      </c>
      <c r="F31" s="11">
        <f>601.76+70.76</f>
        <v>672.52</v>
      </c>
      <c r="G31" s="11">
        <f>4387.94+516.14</f>
        <v>4904.08</v>
      </c>
      <c r="H31" s="11">
        <f>1477.32+160.77</f>
        <v>1638.09</v>
      </c>
      <c r="I31" s="11">
        <f>6392.6+695.67</f>
        <v>7088.27</v>
      </c>
      <c r="J31" s="11">
        <f>11480.25+1249.38</f>
        <v>12729.630000000001</v>
      </c>
      <c r="K31" s="11">
        <f>15956.85+1736.55</f>
        <v>17693.400000000001</v>
      </c>
      <c r="L31" s="11">
        <f>38755.47+4217.63</f>
        <v>42973.1</v>
      </c>
      <c r="M31" s="11">
        <f>7463.91+812.27</f>
        <v>8276.18</v>
      </c>
      <c r="N31" s="11">
        <f t="shared" si="21"/>
        <v>116180.95999999999</v>
      </c>
    </row>
    <row r="32" spans="1:15" ht="26.25" customHeight="1" thickBot="1" x14ac:dyDescent="0.3">
      <c r="A32" s="4" t="s">
        <v>22</v>
      </c>
      <c r="B32" s="11">
        <v>338.09</v>
      </c>
      <c r="C32" s="11">
        <v>338.09</v>
      </c>
      <c r="D32" s="11">
        <v>338.09</v>
      </c>
      <c r="E32" s="11">
        <v>338.09</v>
      </c>
      <c r="F32" s="11">
        <v>338.09</v>
      </c>
      <c r="G32" s="11">
        <v>338.09</v>
      </c>
      <c r="H32" s="11">
        <v>439.54</v>
      </c>
      <c r="I32" s="11">
        <v>439.54</v>
      </c>
      <c r="J32" s="11">
        <v>439.54</v>
      </c>
      <c r="K32" s="11">
        <v>439.54</v>
      </c>
      <c r="L32" s="11">
        <v>439.54</v>
      </c>
      <c r="M32" s="11">
        <v>439.54</v>
      </c>
      <c r="N32" s="11">
        <f t="shared" si="21"/>
        <v>4665.78</v>
      </c>
    </row>
    <row r="33" spans="1:14" ht="26.25" customHeight="1" thickBot="1" x14ac:dyDescent="0.3">
      <c r="A33" s="4" t="s">
        <v>23</v>
      </c>
      <c r="B33" s="11">
        <v>0</v>
      </c>
      <c r="C33" s="11">
        <v>11047.71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6310.08</v>
      </c>
      <c r="N33" s="11">
        <f t="shared" si="21"/>
        <v>17357.79</v>
      </c>
    </row>
    <row r="34" spans="1:14" ht="26.25" customHeight="1" thickBot="1" x14ac:dyDescent="0.3">
      <c r="A34" s="4" t="s">
        <v>28</v>
      </c>
      <c r="B34" s="11">
        <f>227.41+0</f>
        <v>227.41</v>
      </c>
      <c r="C34" s="11">
        <f>227.41+0</f>
        <v>227.41</v>
      </c>
      <c r="D34" s="11">
        <f>227.41+0</f>
        <v>227.41</v>
      </c>
      <c r="E34" s="11">
        <f t="shared" ref="E34:G34" si="25">227.41+0</f>
        <v>227.41</v>
      </c>
      <c r="F34" s="11">
        <f t="shared" si="25"/>
        <v>227.41</v>
      </c>
      <c r="G34" s="11">
        <f t="shared" si="25"/>
        <v>227.41</v>
      </c>
      <c r="H34" s="11">
        <f>250.98+0</f>
        <v>250.98</v>
      </c>
      <c r="I34" s="11">
        <f>250.98+0</f>
        <v>250.98</v>
      </c>
      <c r="J34" s="11">
        <f>250.98+1308.16</f>
        <v>1559.14</v>
      </c>
      <c r="K34" s="11">
        <f>250.98+1068.19</f>
        <v>1319.17</v>
      </c>
      <c r="L34" s="11">
        <f>250.98+5382.88</f>
        <v>5633.86</v>
      </c>
      <c r="M34" s="11">
        <f>250.98+343.45</f>
        <v>594.42999999999995</v>
      </c>
      <c r="N34" s="11">
        <f t="shared" si="21"/>
        <v>10973.02</v>
      </c>
    </row>
    <row r="35" spans="1:14" ht="22.5" customHeight="1" thickBot="1" x14ac:dyDescent="0.3">
      <c r="A35" s="4" t="s">
        <v>6</v>
      </c>
      <c r="B35" s="11">
        <f t="shared" ref="B35:H35" si="26">3457.2*2.87</f>
        <v>9922.1640000000007</v>
      </c>
      <c r="C35" s="11">
        <f t="shared" si="26"/>
        <v>9922.1640000000007</v>
      </c>
      <c r="D35" s="11">
        <f t="shared" si="26"/>
        <v>9922.1640000000007</v>
      </c>
      <c r="E35" s="11">
        <f t="shared" si="26"/>
        <v>9922.1640000000007</v>
      </c>
      <c r="F35" s="11">
        <f t="shared" si="26"/>
        <v>9922.1640000000007</v>
      </c>
      <c r="G35" s="11">
        <f t="shared" si="26"/>
        <v>9922.1640000000007</v>
      </c>
      <c r="H35" s="11">
        <f t="shared" si="26"/>
        <v>9922.1640000000007</v>
      </c>
      <c r="I35" s="11">
        <f>3457.2*3.75</f>
        <v>12964.5</v>
      </c>
      <c r="J35" s="11">
        <f>3457.2*3.75</f>
        <v>12964.5</v>
      </c>
      <c r="K35" s="11">
        <f t="shared" ref="K35:M35" si="27">3457.2*3.75</f>
        <v>12964.5</v>
      </c>
      <c r="L35" s="11">
        <f t="shared" si="27"/>
        <v>12964.5</v>
      </c>
      <c r="M35" s="11">
        <f t="shared" si="27"/>
        <v>12964.5</v>
      </c>
      <c r="N35" s="11">
        <f t="shared" si="21"/>
        <v>134277.64800000002</v>
      </c>
    </row>
    <row r="36" spans="1:14" ht="21.75" customHeight="1" thickBot="1" x14ac:dyDescent="0.3">
      <c r="A36" s="4" t="s">
        <v>44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4393</v>
      </c>
      <c r="L36" s="11">
        <v>4629.34</v>
      </c>
      <c r="M36" s="11">
        <v>4752.24</v>
      </c>
      <c r="N36" s="11">
        <f t="shared" si="21"/>
        <v>13774.58</v>
      </c>
    </row>
    <row r="37" spans="1:14" ht="21.75" customHeight="1" thickBot="1" x14ac:dyDescent="0.3">
      <c r="A37" s="4" t="s">
        <v>45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657</v>
      </c>
      <c r="L37" s="11">
        <v>692</v>
      </c>
      <c r="M37" s="11">
        <v>710</v>
      </c>
      <c r="N37" s="11">
        <f t="shared" si="21"/>
        <v>2059</v>
      </c>
    </row>
    <row r="38" spans="1:14" ht="24.75" customHeight="1" thickBot="1" x14ac:dyDescent="0.3">
      <c r="A38" s="4" t="s">
        <v>26</v>
      </c>
      <c r="B38" s="11">
        <v>1000</v>
      </c>
      <c r="C38" s="11">
        <v>1000</v>
      </c>
      <c r="D38" s="11">
        <v>1000</v>
      </c>
      <c r="E38" s="11">
        <v>1000</v>
      </c>
      <c r="F38" s="11">
        <v>1000</v>
      </c>
      <c r="G38" s="11">
        <v>1000</v>
      </c>
      <c r="H38" s="11">
        <v>1000</v>
      </c>
      <c r="I38" s="11">
        <v>1000</v>
      </c>
      <c r="J38" s="11">
        <v>1000</v>
      </c>
      <c r="K38" s="11">
        <v>1000</v>
      </c>
      <c r="L38" s="11">
        <v>1000</v>
      </c>
      <c r="M38" s="11">
        <v>1000</v>
      </c>
      <c r="N38" s="11">
        <f t="shared" si="21"/>
        <v>12000</v>
      </c>
    </row>
    <row r="39" spans="1:14" ht="24.75" customHeight="1" thickBot="1" x14ac:dyDescent="0.3">
      <c r="A39" s="4" t="s">
        <v>14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17274.650000000001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 t="shared" si="21"/>
        <v>17274.650000000001</v>
      </c>
    </row>
    <row r="40" spans="1:14" ht="24" customHeight="1" thickBot="1" x14ac:dyDescent="0.3">
      <c r="A40" s="4" t="s">
        <v>10</v>
      </c>
      <c r="B40" s="11">
        <f>105+3035.2</f>
        <v>3140.2</v>
      </c>
      <c r="C40" s="11">
        <f>15125.4+585.9</f>
        <v>15711.3</v>
      </c>
      <c r="D40" s="11">
        <v>0</v>
      </c>
      <c r="E40" s="11">
        <v>0</v>
      </c>
      <c r="F40" s="11">
        <f>3971.8</f>
        <v>3971.8</v>
      </c>
      <c r="G40" s="11">
        <v>0</v>
      </c>
      <c r="H40" s="11">
        <f>8813.8</f>
        <v>8813.7999999999993</v>
      </c>
      <c r="I40" s="11">
        <f>1183.8+3877.1+105</f>
        <v>5165.8999999999996</v>
      </c>
      <c r="J40" s="11">
        <f>14158.3+2779</f>
        <v>16937.3</v>
      </c>
      <c r="K40" s="11">
        <f>3448.5</f>
        <v>3448.5</v>
      </c>
      <c r="L40" s="11">
        <v>0</v>
      </c>
      <c r="M40" s="11">
        <v>0</v>
      </c>
      <c r="N40" s="11">
        <f t="shared" si="21"/>
        <v>57188.800000000003</v>
      </c>
    </row>
    <row r="41" spans="1:14" ht="25.2" customHeight="1" thickBot="1" x14ac:dyDescent="0.3">
      <c r="A41" s="9" t="s">
        <v>24</v>
      </c>
      <c r="B41" s="10">
        <f>SUM(B26:B40)</f>
        <v>70943.195719999989</v>
      </c>
      <c r="C41" s="10">
        <f>SUM(C26:C40)</f>
        <v>90368.805439999996</v>
      </c>
      <c r="D41" s="10">
        <f t="shared" ref="D41:M41" si="28">SUM(D26:D40)</f>
        <v>60172.114059999993</v>
      </c>
      <c r="E41" s="10">
        <f t="shared" si="28"/>
        <v>64377.075319999989</v>
      </c>
      <c r="F41" s="10">
        <f t="shared" si="28"/>
        <v>63623.991939999993</v>
      </c>
      <c r="G41" s="10">
        <f t="shared" si="28"/>
        <v>63789.54789999999</v>
      </c>
      <c r="H41" s="10">
        <f t="shared" si="28"/>
        <v>87031.363839999991</v>
      </c>
      <c r="I41" s="10">
        <f t="shared" si="28"/>
        <v>74757.907779999994</v>
      </c>
      <c r="J41" s="10">
        <f t="shared" si="28"/>
        <v>94138.266079999987</v>
      </c>
      <c r="K41" s="10">
        <f t="shared" si="28"/>
        <v>90975.263719999988</v>
      </c>
      <c r="L41" s="10">
        <f t="shared" si="28"/>
        <v>117492.56555999999</v>
      </c>
      <c r="M41" s="10">
        <f t="shared" si="28"/>
        <v>84758.094620000003</v>
      </c>
      <c r="N41" s="10">
        <f>SUM(B41:M41)</f>
        <v>962428.19198</v>
      </c>
    </row>
    <row r="42" spans="1:14" ht="24" customHeight="1" thickBot="1" x14ac:dyDescent="0.3">
      <c r="A42" s="4" t="s">
        <v>5</v>
      </c>
      <c r="B42" s="18">
        <f t="shared" ref="B42:N42" si="29">B16-B41</f>
        <v>-17471.325719999986</v>
      </c>
      <c r="C42" s="18">
        <f t="shared" si="29"/>
        <v>-28957.525439999998</v>
      </c>
      <c r="D42" s="18">
        <f t="shared" si="29"/>
        <v>4062.1559400000115</v>
      </c>
      <c r="E42" s="18">
        <f t="shared" si="29"/>
        <v>2925.4846800000087</v>
      </c>
      <c r="F42" s="18">
        <f t="shared" si="29"/>
        <v>13269.788060000006</v>
      </c>
      <c r="G42" s="18">
        <f t="shared" si="29"/>
        <v>2732.7321000000084</v>
      </c>
      <c r="H42" s="18">
        <f t="shared" si="29"/>
        <v>-14362.993839999981</v>
      </c>
      <c r="I42" s="18">
        <f t="shared" si="29"/>
        <v>-13044.667779999989</v>
      </c>
      <c r="J42" s="18">
        <f t="shared" si="29"/>
        <v>-10565.156079999986</v>
      </c>
      <c r="K42" s="18">
        <f t="shared" si="29"/>
        <v>5495.8762800000113</v>
      </c>
      <c r="L42" s="18">
        <f t="shared" si="29"/>
        <v>-20041.805559999993</v>
      </c>
      <c r="M42" s="18">
        <f t="shared" si="29"/>
        <v>11808.085380000004</v>
      </c>
      <c r="N42" s="18">
        <f t="shared" si="29"/>
        <v>-64149.351979999919</v>
      </c>
    </row>
    <row r="43" spans="1:14" ht="24.6" customHeight="1" thickBot="1" x14ac:dyDescent="0.3">
      <c r="A43" s="4" t="s">
        <v>7</v>
      </c>
      <c r="B43" s="14">
        <f t="shared" ref="B43:N43" si="30">B5+B42</f>
        <v>-392715.13571999996</v>
      </c>
      <c r="C43" s="14">
        <f t="shared" si="30"/>
        <v>-421672.66115999996</v>
      </c>
      <c r="D43" s="14">
        <f t="shared" si="30"/>
        <v>-417610.50521999993</v>
      </c>
      <c r="E43" s="14">
        <f t="shared" si="30"/>
        <v>-414685.02053999994</v>
      </c>
      <c r="F43" s="14">
        <f t="shared" si="30"/>
        <v>-401415.23247999995</v>
      </c>
      <c r="G43" s="14">
        <f t="shared" si="30"/>
        <v>-398682.50037999992</v>
      </c>
      <c r="H43" s="14">
        <f t="shared" si="30"/>
        <v>-413045.49421999988</v>
      </c>
      <c r="I43" s="14">
        <f t="shared" si="30"/>
        <v>-426090.16199999989</v>
      </c>
      <c r="J43" s="14">
        <f t="shared" si="30"/>
        <v>-436655.31807999988</v>
      </c>
      <c r="K43" s="14">
        <f t="shared" si="30"/>
        <v>-431159.44179999985</v>
      </c>
      <c r="L43" s="14">
        <f t="shared" si="30"/>
        <v>-451201.24735999986</v>
      </c>
      <c r="M43" s="14">
        <f t="shared" si="30"/>
        <v>-439393.16197999986</v>
      </c>
      <c r="N43" s="14">
        <f t="shared" si="30"/>
        <v>-439393.16197999992</v>
      </c>
    </row>
    <row r="44" spans="1:14" ht="28.2" customHeight="1" thickBot="1" x14ac:dyDescent="0.3">
      <c r="A44" s="15" t="s">
        <v>11</v>
      </c>
      <c r="B44" s="19">
        <f t="shared" ref="B44:N44" si="31">B6+B16-B7</f>
        <v>-176730.47999999998</v>
      </c>
      <c r="C44" s="19">
        <f t="shared" si="31"/>
        <v>-193156.65999999997</v>
      </c>
      <c r="D44" s="19">
        <f t="shared" si="31"/>
        <v>-213182.59999999998</v>
      </c>
      <c r="E44" s="19">
        <f t="shared" si="31"/>
        <v>-215454.96</v>
      </c>
      <c r="F44" s="19">
        <f t="shared" si="31"/>
        <v>-212275.65999999997</v>
      </c>
      <c r="G44" s="19">
        <f t="shared" si="31"/>
        <v>-214866.08999999997</v>
      </c>
      <c r="H44" s="19">
        <f t="shared" si="31"/>
        <v>-215678.08999999997</v>
      </c>
      <c r="I44" s="19">
        <f t="shared" si="31"/>
        <v>-250125.82</v>
      </c>
      <c r="J44" s="19">
        <f t="shared" si="31"/>
        <v>-268166.23000000004</v>
      </c>
      <c r="K44" s="19">
        <f t="shared" si="31"/>
        <v>-280057.88</v>
      </c>
      <c r="L44" s="19">
        <f t="shared" si="31"/>
        <v>-295689.58</v>
      </c>
      <c r="M44" s="19">
        <f t="shared" si="31"/>
        <v>-341806.78</v>
      </c>
      <c r="N44" s="19">
        <f t="shared" si="31"/>
        <v>-341806.77999999991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2026-02-16T08:17:13Z</cp:lastPrinted>
  <dcterms:created xsi:type="dcterms:W3CDTF">2011-06-06T03:25:48Z</dcterms:created>
  <dcterms:modified xsi:type="dcterms:W3CDTF">2026-02-16T08:27:12Z</dcterms:modified>
</cp:coreProperties>
</file>