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L33" i="1" l="1"/>
  <c r="M33" i="1" l="1"/>
  <c r="K33" i="1" l="1"/>
  <c r="K30" i="1" l="1"/>
  <c r="L30" i="1"/>
  <c r="M30" i="1"/>
  <c r="M25" i="1" l="1"/>
  <c r="M15" i="1"/>
  <c r="M24" i="1"/>
  <c r="M8" i="1"/>
  <c r="L25" i="1" l="1"/>
  <c r="L15" i="1"/>
  <c r="L24" i="1"/>
  <c r="L8" i="1"/>
  <c r="K25" i="1" l="1"/>
  <c r="K15" i="1"/>
  <c r="K24" i="1"/>
  <c r="K8" i="1"/>
  <c r="K31" i="1" l="1"/>
  <c r="L31" i="1"/>
  <c r="M31" i="1"/>
  <c r="K26" i="1"/>
  <c r="L26" i="1"/>
  <c r="M26" i="1"/>
  <c r="K23" i="1"/>
  <c r="L23" i="1"/>
  <c r="M23" i="1"/>
  <c r="K22" i="1"/>
  <c r="L22" i="1"/>
  <c r="M22" i="1"/>
  <c r="H20" i="1" l="1"/>
  <c r="I20" i="1"/>
  <c r="H13" i="1"/>
  <c r="I13" i="1"/>
  <c r="J13" i="1"/>
  <c r="C20" i="1" l="1"/>
  <c r="D20" i="1"/>
  <c r="E20" i="1"/>
  <c r="F20" i="1"/>
  <c r="G20" i="1"/>
  <c r="B20" i="1"/>
  <c r="C13" i="1"/>
  <c r="D13" i="1"/>
  <c r="E13" i="1"/>
  <c r="F13" i="1"/>
  <c r="G13" i="1"/>
  <c r="B13" i="1"/>
  <c r="J33" i="1" l="1"/>
  <c r="I30" i="1" l="1"/>
  <c r="J30" i="1"/>
  <c r="H30" i="1"/>
  <c r="I33" i="1" l="1"/>
  <c r="H33" i="1" l="1"/>
  <c r="J25" i="1" l="1"/>
  <c r="J15" i="1"/>
  <c r="J24" i="1"/>
  <c r="J8" i="1"/>
  <c r="I25" i="1" l="1"/>
  <c r="I15" i="1"/>
  <c r="I24" i="1"/>
  <c r="I8" i="1"/>
  <c r="H25" i="1" l="1"/>
  <c r="H15" i="1"/>
  <c r="H24" i="1"/>
  <c r="H8" i="1"/>
  <c r="H26" i="1"/>
  <c r="I26" i="1"/>
  <c r="J26" i="1"/>
  <c r="H23" i="1"/>
  <c r="I23" i="1"/>
  <c r="J23" i="1"/>
  <c r="H22" i="1"/>
  <c r="I22" i="1"/>
  <c r="J22" i="1"/>
  <c r="J31" i="1" l="1"/>
  <c r="I31" i="1"/>
  <c r="H31" i="1"/>
  <c r="E30" i="1" l="1"/>
  <c r="F30" i="1"/>
  <c r="G30" i="1"/>
  <c r="F33" i="1" l="1"/>
  <c r="G25" i="1" l="1"/>
  <c r="G15" i="1"/>
  <c r="G24" i="1"/>
  <c r="G8" i="1"/>
  <c r="F25" i="1" l="1"/>
  <c r="F15" i="1"/>
  <c r="F24" i="1"/>
  <c r="F8" i="1"/>
  <c r="E25" i="1" l="1"/>
  <c r="E15" i="1"/>
  <c r="E24" i="1"/>
  <c r="E8" i="1"/>
  <c r="E31" i="1" l="1"/>
  <c r="F31" i="1"/>
  <c r="G31" i="1"/>
  <c r="E26" i="1"/>
  <c r="F26" i="1"/>
  <c r="G26" i="1"/>
  <c r="E23" i="1"/>
  <c r="F23" i="1"/>
  <c r="G23" i="1"/>
  <c r="E22" i="1"/>
  <c r="F22" i="1"/>
  <c r="G22" i="1"/>
  <c r="C30" i="1" l="1"/>
  <c r="D30" i="1"/>
  <c r="B30" i="1"/>
  <c r="C33" i="1" l="1"/>
  <c r="B33" i="1" l="1"/>
  <c r="C26" i="1" l="1"/>
  <c r="D26" i="1"/>
  <c r="B26" i="1"/>
  <c r="D24" i="1"/>
  <c r="C24" i="1"/>
  <c r="D23" i="1"/>
  <c r="C23" i="1"/>
  <c r="D25" i="1" l="1"/>
  <c r="D15" i="1"/>
  <c r="D8" i="1"/>
  <c r="C25" i="1" l="1"/>
  <c r="C15" i="1"/>
  <c r="C8" i="1"/>
  <c r="B25" i="1" l="1"/>
  <c r="B15" i="1"/>
  <c r="B24" i="1"/>
  <c r="B8" i="1"/>
  <c r="C31" i="1" l="1"/>
  <c r="D31" i="1"/>
  <c r="C22" i="1"/>
  <c r="D22" i="1"/>
  <c r="B31" i="1"/>
  <c r="B23" i="1"/>
  <c r="B22" i="1"/>
  <c r="B7" i="1" l="1"/>
  <c r="N9" i="1"/>
  <c r="N10" i="1"/>
  <c r="N11" i="1"/>
  <c r="N12" i="1"/>
  <c r="N13" i="1"/>
  <c r="N8" i="1"/>
  <c r="N32" i="1" l="1"/>
  <c r="N6" i="1"/>
  <c r="N5" i="1"/>
  <c r="L7" i="1" l="1"/>
  <c r="K7" i="1"/>
  <c r="N22" i="1"/>
  <c r="N23" i="1"/>
  <c r="N26" i="1"/>
  <c r="N27" i="1"/>
  <c r="N28" i="1"/>
  <c r="N29" i="1"/>
  <c r="N30" i="1"/>
  <c r="N31" i="1"/>
  <c r="N16" i="1"/>
  <c r="N17" i="1"/>
  <c r="N18" i="1"/>
  <c r="N19" i="1"/>
  <c r="N20" i="1"/>
  <c r="K14" i="1"/>
  <c r="L14" i="1"/>
  <c r="M14" i="1"/>
  <c r="M7" i="1"/>
  <c r="M34" i="1" l="1"/>
  <c r="M35" i="1" s="1"/>
  <c r="L34" i="1"/>
  <c r="L35" i="1" s="1"/>
  <c r="K34" i="1" l="1"/>
  <c r="K35" i="1" l="1"/>
  <c r="J7" i="1" l="1"/>
  <c r="I7" i="1"/>
  <c r="H7" i="1"/>
  <c r="I14" i="1"/>
  <c r="H14" i="1" l="1"/>
  <c r="J14" i="1"/>
  <c r="J34" i="1" l="1"/>
  <c r="J35" i="1" s="1"/>
  <c r="H34" i="1"/>
  <c r="N33" i="1"/>
  <c r="I34" i="1"/>
  <c r="E14" i="1"/>
  <c r="F14" i="1"/>
  <c r="G14" i="1"/>
  <c r="E7" i="1"/>
  <c r="G34" i="1" l="1"/>
  <c r="G35" i="1" s="1"/>
  <c r="F34" i="1"/>
  <c r="F35" i="1" s="1"/>
  <c r="H35" i="1"/>
  <c r="N24" i="1"/>
  <c r="N15" i="1"/>
  <c r="I35" i="1"/>
  <c r="G7" i="1"/>
  <c r="F7" i="1"/>
  <c r="B14" i="1"/>
  <c r="D14" i="1"/>
  <c r="D34" i="1" s="1"/>
  <c r="D35" i="1" s="1"/>
  <c r="D7" i="1"/>
  <c r="C14" i="1"/>
  <c r="C34" i="1" s="1"/>
  <c r="C35" i="1" s="1"/>
  <c r="C7" i="1"/>
  <c r="N14" i="1" l="1"/>
  <c r="N7" i="1"/>
  <c r="B34" i="1"/>
  <c r="B35" i="1" s="1"/>
  <c r="B36" i="1" s="1"/>
  <c r="B37" i="1"/>
  <c r="C6" i="1" s="1"/>
  <c r="C37" i="1" s="1"/>
  <c r="N25" i="1"/>
  <c r="E34" i="1"/>
  <c r="N37" i="1" l="1"/>
  <c r="N39" i="1" s="1"/>
  <c r="D6" i="1"/>
  <c r="D37" i="1" s="1"/>
  <c r="E35" i="1"/>
  <c r="E6" i="1" l="1"/>
  <c r="C5" i="1"/>
  <c r="C36" i="1" s="1"/>
  <c r="N34" i="1"/>
  <c r="N35" i="1" s="1"/>
  <c r="N36" i="1" s="1"/>
  <c r="E37" i="1" l="1"/>
  <c r="F6" i="1" s="1"/>
  <c r="F37" i="1" s="1"/>
  <c r="G6" i="1" s="1"/>
  <c r="G37" i="1" s="1"/>
  <c r="D5" i="1"/>
  <c r="D36" i="1" s="1"/>
  <c r="H6" i="1" l="1"/>
  <c r="H37" i="1" s="1"/>
  <c r="E5" i="1"/>
  <c r="E36" i="1" s="1"/>
  <c r="F5" i="1" s="1"/>
  <c r="F36" i="1" s="1"/>
  <c r="I6" i="1" l="1"/>
  <c r="I37" i="1" s="1"/>
  <c r="G5" i="1"/>
  <c r="G36" i="1" s="1"/>
  <c r="J6" i="1" l="1"/>
  <c r="J37" i="1" s="1"/>
  <c r="H5" i="1"/>
  <c r="H36" i="1" s="1"/>
  <c r="K6" i="1" l="1"/>
  <c r="K37" i="1" s="1"/>
  <c r="I5" i="1"/>
  <c r="I36" i="1" s="1"/>
  <c r="L6" i="1" l="1"/>
  <c r="L37" i="1" s="1"/>
  <c r="J5" i="1"/>
  <c r="J36" i="1" s="1"/>
  <c r="M6" i="1" l="1"/>
  <c r="M37" i="1" s="1"/>
  <c r="K5" i="1"/>
  <c r="K36" i="1" s="1"/>
  <c r="L5" i="1" l="1"/>
  <c r="L36" i="1" s="1"/>
  <c r="M5" i="1" l="1"/>
  <c r="M36" i="1" s="1"/>
</calcChain>
</file>

<file path=xl/sharedStrings.xml><?xml version="1.0" encoding="utf-8"?>
<sst xmlns="http://schemas.openxmlformats.org/spreadsheetml/2006/main" count="50" uniqueCount="42">
  <si>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</si>
  <si>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</si>
  <si>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</si>
  <si>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</si>
  <si>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</si>
  <si>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</si>
  <si>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</si>
  <si>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</si>
  <si>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</si>
  <si>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</si>
  <si>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</si>
  <si>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</si>
  <si>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</si>
  <si>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</si>
  <si>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</si>
  <si>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</si>
  <si>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</si>
  <si>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</si>
  <si>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</si>
  <si>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</si>
  <si>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</si>
  <si>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</si>
  <si>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</si>
  <si>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</si>
  <si>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узла учета тепловой энергии</t>
  </si>
  <si>
    <t>Отведение сточных вод на ОИ</t>
  </si>
  <si>
    <t>Содержание жилья и текущий ремонт,  ОПУ</t>
  </si>
  <si>
    <t>Корректировка задолженности по оплате по решению Арбитражного суда за предыдущие периоды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</si>
  <si>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</si>
  <si>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</si>
  <si>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</si>
  <si>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</si>
  <si>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</si>
  <si>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</si>
  <si>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</si>
  <si>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</si>
  <si>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 xml:space="preserve">Сентябрь 2025г. </t>
  </si>
  <si>
    <t>Октябрь 2025г</t>
  </si>
  <si>
    <t>Ноябрь 2025г</t>
  </si>
  <si>
    <t>Декабрь 2025г</t>
  </si>
  <si>
    <t>Всего:                       за  2025г.</t>
  </si>
  <si>
    <t xml:space="preserve">                 ОТЧЕТ по дому Ленинградская, 26/1 за период 01.01.2025г. по 31.12.2025г.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</si>
</sst>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4" fontId="7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7" fillId="0" borderId="7" xfId="0" applyFont="1" applyBorder="1" applyAlignment="1">
      <alignment horizontal="right" vertical="top"/>
    </xf>
    <xf numFmtId="0" fontId="7" fillId="0" borderId="8" xfId="0" applyFont="1" applyBorder="1" applyAlignment="1">
      <alignment horizontal="right" vertical="top"/>
    </xf>
    <xf numFmtId="0" fontId="7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zoomScale="75" workbookViewId="0">
      <selection activeCell="E42" sqref="E42:E43"/>
    </sheetView>
  </sheetViews>
  <sheetFormatPr defaultRowHeight="13.2" x14ac:dyDescent="0.25"/>
  <cols>
    <col min="1" max="1" width="45.44140625" customWidth="1"/>
    <col min="2" max="2" width="15.44140625" customWidth="1"/>
    <col min="3" max="3" width="15.5546875" customWidth="1"/>
    <col min="4" max="4" width="15.109375" customWidth="1"/>
    <col min="5" max="5" width="15.5546875" customWidth="1"/>
    <col min="6" max="6" width="15.21875" customWidth="1"/>
    <col min="7" max="8" width="15.109375" customWidth="1"/>
    <col min="9" max="9" width="15.44140625" customWidth="1"/>
    <col min="10" max="10" width="15.109375" customWidth="1"/>
    <col min="11" max="12" width="15.33203125" customWidth="1"/>
    <col min="13" max="14" width="15.44140625" customWidth="1"/>
    <col min="15" max="15" width="16.33203125" customWidth="1"/>
  </cols>
  <sheetData>
    <row r="1" spans="1:18" ht="20.25" customHeight="1" x14ac:dyDescent="0.35">
      <c r="A1" s="22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15" t="s">
        <v>0</v>
      </c>
      <c r="B4" s="16" t="s">
        <v>28</v>
      </c>
      <c r="C4" s="16" t="s">
        <v>29</v>
      </c>
      <c r="D4" s="16" t="s">
        <v>30</v>
      </c>
      <c r="E4" s="16" t="s">
        <v>31</v>
      </c>
      <c r="F4" s="16" t="s">
        <v>32</v>
      </c>
      <c r="G4" s="16" t="s">
        <v>33</v>
      </c>
      <c r="H4" s="16" t="s">
        <v>34</v>
      </c>
      <c r="I4" s="16" t="s">
        <v>35</v>
      </c>
      <c r="J4" s="16" t="s">
        <v>36</v>
      </c>
      <c r="K4" s="16" t="s">
        <v>37</v>
      </c>
      <c r="L4" s="16" t="s">
        <v>38</v>
      </c>
      <c r="M4" s="16" t="s">
        <v>39</v>
      </c>
      <c r="N4" s="16" t="s">
        <v>40</v>
      </c>
    </row>
    <row r="5" spans="1:18" ht="23.25" customHeight="1" thickBot="1" x14ac:dyDescent="0.3">
      <c r="A5" s="17" t="s">
        <v>15</v>
      </c>
      <c r="B5" s="5">
        <v>-232359.88</v>
      </c>
      <c r="C5" s="6">
        <f t="shared" ref="C5:D5" si="0">B36</f>
        <v>-231301.77707000001</v>
      </c>
      <c r="D5" s="6">
        <f t="shared" si="0"/>
        <v>-225157.80841000003</v>
      </c>
      <c r="E5" s="6">
        <f t="shared" ref="E5" si="1">D36</f>
        <v>-224286.98925000004</v>
      </c>
      <c r="F5" s="6">
        <f t="shared" ref="F5" si="2">E36</f>
        <v>-257025.87659</v>
      </c>
      <c r="G5" s="6">
        <f t="shared" ref="G5" si="3">F36</f>
        <v>-277418.73533</v>
      </c>
      <c r="H5" s="6">
        <f t="shared" ref="H5" si="4">G36</f>
        <v>-277502.82296999998</v>
      </c>
      <c r="I5" s="6">
        <f t="shared" ref="I5" si="5">H36</f>
        <v>-439946.14994999999</v>
      </c>
      <c r="J5" s="6">
        <f t="shared" ref="J5" si="6">I36</f>
        <v>-473481.91005000001</v>
      </c>
      <c r="K5" s="6">
        <f t="shared" ref="K5" si="7">J36</f>
        <v>-451451.61235000001</v>
      </c>
      <c r="L5" s="6">
        <f t="shared" ref="L5" si="8">K36</f>
        <v>-452524.34724999999</v>
      </c>
      <c r="M5" s="6">
        <f t="shared" ref="M5" si="9">L36</f>
        <v>-447471.50104999996</v>
      </c>
      <c r="N5" s="5">
        <f>B5</f>
        <v>-232359.88</v>
      </c>
    </row>
    <row r="6" spans="1:18" ht="21" customHeight="1" thickBot="1" x14ac:dyDescent="0.3">
      <c r="A6" s="17" t="s">
        <v>13</v>
      </c>
      <c r="B6" s="6">
        <v>-1020370.83</v>
      </c>
      <c r="C6" s="6">
        <f t="shared" ref="C6:M6" si="10">B37</f>
        <v>-1035141.24</v>
      </c>
      <c r="D6" s="6">
        <f t="shared" si="10"/>
        <v>-1031400.17</v>
      </c>
      <c r="E6" s="6">
        <f t="shared" si="10"/>
        <v>-1046232.4500000001</v>
      </c>
      <c r="F6" s="6">
        <f t="shared" si="10"/>
        <v>-1054402.18</v>
      </c>
      <c r="G6" s="6">
        <f t="shared" si="10"/>
        <v>-1071737.53</v>
      </c>
      <c r="H6" s="6">
        <f t="shared" si="10"/>
        <v>-1087554.25</v>
      </c>
      <c r="I6" s="6">
        <f t="shared" si="10"/>
        <v>-1101381.2</v>
      </c>
      <c r="J6" s="6">
        <f t="shared" si="10"/>
        <v>-1134681.6499999999</v>
      </c>
      <c r="K6" s="6">
        <f t="shared" si="10"/>
        <v>-1153339.3599999999</v>
      </c>
      <c r="L6" s="6">
        <f t="shared" si="10"/>
        <v>-1183428.6499999999</v>
      </c>
      <c r="M6" s="6">
        <f t="shared" si="10"/>
        <v>-1183376.31</v>
      </c>
      <c r="N6" s="6">
        <f>B6</f>
        <v>-1020370.83</v>
      </c>
    </row>
    <row r="7" spans="1:18" ht="20.25" customHeight="1" thickBot="1" x14ac:dyDescent="0.3">
      <c r="A7" s="18" t="s">
        <v>12</v>
      </c>
      <c r="B7" s="7">
        <f>SUM(B8:B13)</f>
        <v>77508.289999999994</v>
      </c>
      <c r="C7" s="7">
        <f>SUM(C8:C13)</f>
        <v>77508.289999999994</v>
      </c>
      <c r="D7" s="7">
        <f>SUM(D8:D13)</f>
        <v>77508.289999999994</v>
      </c>
      <c r="E7" s="7">
        <f t="shared" ref="E7:M7" si="11">SUM(E8:E13)</f>
        <v>77508.289999999994</v>
      </c>
      <c r="F7" s="7">
        <f t="shared" si="11"/>
        <v>77508.289999999994</v>
      </c>
      <c r="G7" s="7">
        <f t="shared" si="11"/>
        <v>77508.289999999994</v>
      </c>
      <c r="H7" s="7">
        <f t="shared" si="11"/>
        <v>78684.83</v>
      </c>
      <c r="I7" s="7">
        <f t="shared" si="11"/>
        <v>110719.35</v>
      </c>
      <c r="J7" s="7">
        <f t="shared" si="11"/>
        <v>110719.35</v>
      </c>
      <c r="K7" s="7">
        <f t="shared" si="11"/>
        <v>110419.35</v>
      </c>
      <c r="L7" s="7">
        <f t="shared" si="11"/>
        <v>110419.35</v>
      </c>
      <c r="M7" s="7">
        <f t="shared" si="11"/>
        <v>110419.35</v>
      </c>
      <c r="N7" s="7">
        <f>SUM(B7:M7)</f>
        <v>1096431.3199999998</v>
      </c>
    </row>
    <row r="8" spans="1:18" ht="24.75" customHeight="1" thickBot="1" x14ac:dyDescent="0.3">
      <c r="A8" s="4" t="s">
        <v>26</v>
      </c>
      <c r="B8" s="8">
        <f t="shared" ref="B8:G8" si="12">67372.04+958.99</f>
        <v>68331.03</v>
      </c>
      <c r="C8" s="8">
        <f t="shared" si="12"/>
        <v>68331.03</v>
      </c>
      <c r="D8" s="8">
        <f t="shared" si="12"/>
        <v>68331.03</v>
      </c>
      <c r="E8" s="8">
        <f t="shared" si="12"/>
        <v>68331.03</v>
      </c>
      <c r="F8" s="8">
        <f t="shared" si="12"/>
        <v>68331.03</v>
      </c>
      <c r="G8" s="8">
        <f t="shared" si="12"/>
        <v>68331.03</v>
      </c>
      <c r="H8" s="8">
        <f>67372.04+958.99</f>
        <v>68331.03</v>
      </c>
      <c r="I8" s="8">
        <f>99406.56+958.99</f>
        <v>100365.55</v>
      </c>
      <c r="J8" s="8">
        <f>99406.56+958.99</f>
        <v>100365.55</v>
      </c>
      <c r="K8" s="8">
        <f>99406.56+958.99</f>
        <v>100365.55</v>
      </c>
      <c r="L8" s="8">
        <f>99406.56+958.99</f>
        <v>100365.55</v>
      </c>
      <c r="M8" s="8">
        <f>99406.56+958.99</f>
        <v>100365.55</v>
      </c>
      <c r="N8" s="8">
        <f>SUM(B8:M8)</f>
        <v>980144.96000000031</v>
      </c>
    </row>
    <row r="9" spans="1:18" ht="24.75" customHeight="1" thickBot="1" x14ac:dyDescent="0.3">
      <c r="A9" s="4" t="s">
        <v>16</v>
      </c>
      <c r="B9" s="8">
        <v>3313.98</v>
      </c>
      <c r="C9" s="8">
        <v>3313.98</v>
      </c>
      <c r="D9" s="8">
        <v>3313.98</v>
      </c>
      <c r="E9" s="8">
        <v>3313.98</v>
      </c>
      <c r="F9" s="8">
        <v>3313.98</v>
      </c>
      <c r="G9" s="8">
        <v>3313.98</v>
      </c>
      <c r="H9" s="8">
        <v>3758.32</v>
      </c>
      <c r="I9" s="8">
        <v>3758.32</v>
      </c>
      <c r="J9" s="8">
        <v>3758.32</v>
      </c>
      <c r="K9" s="8">
        <v>3758.32</v>
      </c>
      <c r="L9" s="8">
        <v>3758.32</v>
      </c>
      <c r="M9" s="8">
        <v>3758.32</v>
      </c>
      <c r="N9" s="8">
        <f t="shared" ref="N9:N13" si="13">SUM(B9:M9)</f>
        <v>42433.8</v>
      </c>
    </row>
    <row r="10" spans="1:18" ht="21.75" customHeight="1" thickBot="1" x14ac:dyDescent="0.3">
      <c r="A10" s="4" t="s">
        <v>17</v>
      </c>
      <c r="B10" s="8">
        <v>539.41</v>
      </c>
      <c r="C10" s="8">
        <v>539.41</v>
      </c>
      <c r="D10" s="8">
        <v>539.41</v>
      </c>
      <c r="E10" s="8">
        <v>539.41</v>
      </c>
      <c r="F10" s="8">
        <v>539.41</v>
      </c>
      <c r="G10" s="8">
        <v>539.41</v>
      </c>
      <c r="H10" s="8">
        <v>701.31</v>
      </c>
      <c r="I10" s="8">
        <v>701.31</v>
      </c>
      <c r="J10" s="8">
        <v>701.31</v>
      </c>
      <c r="K10" s="8">
        <v>701.31</v>
      </c>
      <c r="L10" s="8">
        <v>701.31</v>
      </c>
      <c r="M10" s="8">
        <v>701.31</v>
      </c>
      <c r="N10" s="8">
        <f t="shared" si="13"/>
        <v>7444.3199999999979</v>
      </c>
    </row>
    <row r="11" spans="1:18" ht="22.5" customHeight="1" thickBot="1" x14ac:dyDescent="0.3">
      <c r="A11" s="4" t="s">
        <v>18</v>
      </c>
      <c r="B11" s="8">
        <v>3635.39</v>
      </c>
      <c r="C11" s="8">
        <v>3635.39</v>
      </c>
      <c r="D11" s="8">
        <v>3635.39</v>
      </c>
      <c r="E11" s="8">
        <v>3635.39</v>
      </c>
      <c r="F11" s="8">
        <v>3635.39</v>
      </c>
      <c r="G11" s="8">
        <v>3635.39</v>
      </c>
      <c r="H11" s="8">
        <v>4092.88</v>
      </c>
      <c r="I11" s="8">
        <v>4092.88</v>
      </c>
      <c r="J11" s="8">
        <v>4092.88</v>
      </c>
      <c r="K11" s="8">
        <v>4092.88</v>
      </c>
      <c r="L11" s="8">
        <v>4092.88</v>
      </c>
      <c r="M11" s="8">
        <v>4092.88</v>
      </c>
      <c r="N11" s="8">
        <f t="shared" si="13"/>
        <v>46369.619999999995</v>
      </c>
    </row>
    <row r="12" spans="1:18" ht="22.5" customHeight="1" thickBot="1" x14ac:dyDescent="0.3">
      <c r="A12" s="4" t="s">
        <v>25</v>
      </c>
      <c r="B12" s="8">
        <v>1088.48</v>
      </c>
      <c r="C12" s="8">
        <v>1088.48</v>
      </c>
      <c r="D12" s="8">
        <v>1088.48</v>
      </c>
      <c r="E12" s="8">
        <v>1088.48</v>
      </c>
      <c r="F12" s="8">
        <v>1088.48</v>
      </c>
      <c r="G12" s="8">
        <v>1088.48</v>
      </c>
      <c r="H12" s="8">
        <v>1201.29</v>
      </c>
      <c r="I12" s="8">
        <v>1201.29</v>
      </c>
      <c r="J12" s="8">
        <v>1201.29</v>
      </c>
      <c r="K12" s="8">
        <v>1201.29</v>
      </c>
      <c r="L12" s="8">
        <v>1201.29</v>
      </c>
      <c r="M12" s="8">
        <v>1201.29</v>
      </c>
      <c r="N12" s="8">
        <f t="shared" si="13"/>
        <v>13738.620000000003</v>
      </c>
    </row>
    <row r="13" spans="1:18" ht="34.200000000000003" customHeight="1" thickBot="1" x14ac:dyDescent="0.3">
      <c r="A13" s="4" t="s">
        <v>14</v>
      </c>
      <c r="B13" s="8">
        <f>900-300</f>
        <v>600</v>
      </c>
      <c r="C13" s="8">
        <f t="shared" ref="C13:J13" si="14">900-300</f>
        <v>600</v>
      </c>
      <c r="D13" s="8">
        <f t="shared" si="14"/>
        <v>600</v>
      </c>
      <c r="E13" s="8">
        <f t="shared" si="14"/>
        <v>600</v>
      </c>
      <c r="F13" s="8">
        <f t="shared" si="14"/>
        <v>600</v>
      </c>
      <c r="G13" s="8">
        <f t="shared" si="14"/>
        <v>600</v>
      </c>
      <c r="H13" s="8">
        <f t="shared" si="14"/>
        <v>600</v>
      </c>
      <c r="I13" s="8">
        <f t="shared" si="14"/>
        <v>600</v>
      </c>
      <c r="J13" s="8">
        <f t="shared" si="14"/>
        <v>600</v>
      </c>
      <c r="K13" s="8">
        <v>300</v>
      </c>
      <c r="L13" s="8">
        <v>300</v>
      </c>
      <c r="M13" s="8">
        <v>300</v>
      </c>
      <c r="N13" s="8">
        <f t="shared" si="13"/>
        <v>6300</v>
      </c>
    </row>
    <row r="14" spans="1:18" ht="20.25" customHeight="1" thickBot="1" x14ac:dyDescent="0.3">
      <c r="A14" s="19" t="s">
        <v>8</v>
      </c>
      <c r="B14" s="9">
        <f>SUM(B15:B20)</f>
        <v>62737.880000000005</v>
      </c>
      <c r="C14" s="9">
        <f>SUM(C15:C20)</f>
        <v>81249.359999999986</v>
      </c>
      <c r="D14" s="9">
        <f>SUM(D15:D20)</f>
        <v>62676.009999999995</v>
      </c>
      <c r="E14" s="9">
        <f t="shared" ref="E14:M14" si="15">SUM(E15:E20)</f>
        <v>69338.560000000012</v>
      </c>
      <c r="F14" s="9">
        <f t="shared" si="15"/>
        <v>60172.939999999995</v>
      </c>
      <c r="G14" s="9">
        <f t="shared" si="15"/>
        <v>61691.569999999992</v>
      </c>
      <c r="H14" s="9">
        <f t="shared" si="15"/>
        <v>64857.88</v>
      </c>
      <c r="I14" s="9">
        <f t="shared" si="15"/>
        <v>77418.899999999994</v>
      </c>
      <c r="J14" s="9">
        <f t="shared" si="15"/>
        <v>92061.64</v>
      </c>
      <c r="K14" s="9">
        <f t="shared" si="15"/>
        <v>80330.06</v>
      </c>
      <c r="L14" s="9">
        <f t="shared" si="15"/>
        <v>110471.69</v>
      </c>
      <c r="M14" s="9">
        <f t="shared" si="15"/>
        <v>81132.73000000001</v>
      </c>
      <c r="N14" s="9">
        <f>SUM(B14:M14)</f>
        <v>904139.22</v>
      </c>
    </row>
    <row r="15" spans="1:18" ht="24" customHeight="1" thickBot="1" x14ac:dyDescent="0.3">
      <c r="A15" s="4" t="s">
        <v>26</v>
      </c>
      <c r="B15" s="8">
        <f>55932.46-257.49+674.48</f>
        <v>56349.450000000004</v>
      </c>
      <c r="C15" s="8">
        <f>72036.92+1083.23</f>
        <v>73120.149999999994</v>
      </c>
      <c r="D15" s="8">
        <f>55346.53+800.1</f>
        <v>56146.63</v>
      </c>
      <c r="E15" s="8">
        <f>62779.71-24.13-746.17</f>
        <v>62009.41</v>
      </c>
      <c r="F15" s="8">
        <f>52067.52+710.13</f>
        <v>52777.649999999994</v>
      </c>
      <c r="G15" s="8">
        <f>53734.78+781.06</f>
        <v>54515.839999999997</v>
      </c>
      <c r="H15" s="8">
        <f>56662.95+764.27</f>
        <v>57427.219999999994</v>
      </c>
      <c r="I15" s="8">
        <f>67158.8+951.06</f>
        <v>68109.86</v>
      </c>
      <c r="J15" s="8">
        <f>80465.44+82.97+964.92</f>
        <v>81513.33</v>
      </c>
      <c r="K15" s="8">
        <f>72225.51+691.75</f>
        <v>72917.259999999995</v>
      </c>
      <c r="L15" s="8">
        <f>99382.2+934.47</f>
        <v>100316.67</v>
      </c>
      <c r="M15" s="8">
        <f>73004.24+701.09</f>
        <v>73705.33</v>
      </c>
      <c r="N15" s="8">
        <f>SUM(B15:M15)</f>
        <v>808908.79999999993</v>
      </c>
    </row>
    <row r="16" spans="1:18" ht="26.25" customHeight="1" thickBot="1" x14ac:dyDescent="0.3">
      <c r="A16" s="4" t="s">
        <v>16</v>
      </c>
      <c r="B16" s="8">
        <v>2672.91</v>
      </c>
      <c r="C16" s="8">
        <v>3283.33</v>
      </c>
      <c r="D16" s="8">
        <v>2748.03</v>
      </c>
      <c r="E16" s="8">
        <v>3000.41</v>
      </c>
      <c r="F16" s="8">
        <v>2623.58</v>
      </c>
      <c r="G16" s="8">
        <v>2671.35</v>
      </c>
      <c r="H16" s="8">
        <v>2760.71</v>
      </c>
      <c r="I16" s="8">
        <v>3454.68</v>
      </c>
      <c r="J16" s="8">
        <v>3143.97</v>
      </c>
      <c r="K16" s="8">
        <v>2749.95</v>
      </c>
      <c r="L16" s="8">
        <v>3813.38</v>
      </c>
      <c r="M16" s="8">
        <v>2747.53</v>
      </c>
      <c r="N16" s="8">
        <f t="shared" ref="N16:N20" si="16">SUM(B16:M16)</f>
        <v>35669.83</v>
      </c>
    </row>
    <row r="17" spans="1:15" ht="26.25" customHeight="1" thickBot="1" x14ac:dyDescent="0.3">
      <c r="A17" s="4" t="s">
        <v>17</v>
      </c>
      <c r="B17" s="8">
        <v>433.58</v>
      </c>
      <c r="C17" s="8">
        <v>554.29</v>
      </c>
      <c r="D17" s="8">
        <v>444.28</v>
      </c>
      <c r="E17" s="8">
        <v>486.08</v>
      </c>
      <c r="F17" s="8">
        <v>422.85</v>
      </c>
      <c r="G17" s="8">
        <v>431.84</v>
      </c>
      <c r="H17" s="8">
        <v>448.87</v>
      </c>
      <c r="I17" s="8">
        <v>635.08000000000004</v>
      </c>
      <c r="J17" s="8">
        <v>582.12</v>
      </c>
      <c r="K17" s="8">
        <v>518.96</v>
      </c>
      <c r="L17" s="8">
        <v>718.04</v>
      </c>
      <c r="M17" s="8">
        <v>509.99</v>
      </c>
      <c r="N17" s="8">
        <f t="shared" si="16"/>
        <v>6185.98</v>
      </c>
    </row>
    <row r="18" spans="1:15" ht="24" customHeight="1" thickBot="1" x14ac:dyDescent="0.3">
      <c r="A18" s="4" t="s">
        <v>18</v>
      </c>
      <c r="B18" s="8">
        <v>2940.14</v>
      </c>
      <c r="C18" s="8">
        <v>3809.72</v>
      </c>
      <c r="D18" s="8">
        <v>3014.69</v>
      </c>
      <c r="E18" s="8">
        <v>3296.86</v>
      </c>
      <c r="F18" s="8">
        <v>2871.37</v>
      </c>
      <c r="G18" s="8">
        <v>2930.75</v>
      </c>
      <c r="H18" s="8">
        <v>3032.36</v>
      </c>
      <c r="I18" s="8">
        <v>3874.78</v>
      </c>
      <c r="J18" s="8">
        <v>3429.08</v>
      </c>
      <c r="K18" s="8">
        <v>3001.81</v>
      </c>
      <c r="L18" s="8">
        <v>4162.4399999999996</v>
      </c>
      <c r="M18" s="8">
        <v>2992.22</v>
      </c>
      <c r="N18" s="8">
        <f t="shared" si="16"/>
        <v>39356.22</v>
      </c>
    </row>
    <row r="19" spans="1:15" ht="24" customHeight="1" thickBot="1" x14ac:dyDescent="0.3">
      <c r="A19" s="4" t="s">
        <v>25</v>
      </c>
      <c r="B19" s="8">
        <v>41.8</v>
      </c>
      <c r="C19" s="8">
        <v>181.87</v>
      </c>
      <c r="D19" s="8">
        <v>22.38</v>
      </c>
      <c r="E19" s="8">
        <v>245.8</v>
      </c>
      <c r="F19" s="8">
        <v>1177.49</v>
      </c>
      <c r="G19" s="8">
        <v>841.79</v>
      </c>
      <c r="H19" s="8">
        <v>888.72</v>
      </c>
      <c r="I19" s="8">
        <v>1044.5</v>
      </c>
      <c r="J19" s="8">
        <v>993.14</v>
      </c>
      <c r="K19" s="8">
        <v>842.08</v>
      </c>
      <c r="L19" s="8">
        <v>1161.1600000000001</v>
      </c>
      <c r="M19" s="8">
        <v>877.66</v>
      </c>
      <c r="N19" s="8">
        <f t="shared" si="16"/>
        <v>8318.3900000000012</v>
      </c>
    </row>
    <row r="20" spans="1:15" ht="35.4" customHeight="1" thickBot="1" x14ac:dyDescent="0.3">
      <c r="A20" s="4" t="s">
        <v>14</v>
      </c>
      <c r="B20" s="12">
        <f>600-300</f>
        <v>300</v>
      </c>
      <c r="C20" s="12">
        <f t="shared" ref="C20:I20" si="17">600-300</f>
        <v>300</v>
      </c>
      <c r="D20" s="12">
        <f t="shared" si="17"/>
        <v>300</v>
      </c>
      <c r="E20" s="12">
        <f t="shared" si="17"/>
        <v>300</v>
      </c>
      <c r="F20" s="12">
        <f t="shared" si="17"/>
        <v>300</v>
      </c>
      <c r="G20" s="12">
        <f t="shared" si="17"/>
        <v>300</v>
      </c>
      <c r="H20" s="12">
        <f t="shared" si="17"/>
        <v>300</v>
      </c>
      <c r="I20" s="12">
        <f t="shared" si="17"/>
        <v>300</v>
      </c>
      <c r="J20" s="12">
        <v>2400</v>
      </c>
      <c r="K20" s="8">
        <v>300</v>
      </c>
      <c r="L20" s="8">
        <v>300</v>
      </c>
      <c r="M20" s="8">
        <v>300</v>
      </c>
      <c r="N20" s="8">
        <f t="shared" si="16"/>
        <v>5700</v>
      </c>
      <c r="O20" s="3"/>
    </row>
    <row r="21" spans="1:15" ht="21.75" customHeight="1" thickBot="1" x14ac:dyDescent="0.3">
      <c r="A21" s="20" t="s">
        <v>23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0"/>
    </row>
    <row r="22" spans="1:15" ht="19.5" customHeight="1" thickBot="1" x14ac:dyDescent="0.3">
      <c r="A22" s="4" t="s">
        <v>1</v>
      </c>
      <c r="B22" s="8">
        <f t="shared" ref="B22:M22" si="18">3551.5*0.6</f>
        <v>2130.9</v>
      </c>
      <c r="C22" s="8">
        <f t="shared" si="18"/>
        <v>2130.9</v>
      </c>
      <c r="D22" s="8">
        <f t="shared" si="18"/>
        <v>2130.9</v>
      </c>
      <c r="E22" s="8">
        <f t="shared" si="18"/>
        <v>2130.9</v>
      </c>
      <c r="F22" s="8">
        <f t="shared" si="18"/>
        <v>2130.9</v>
      </c>
      <c r="G22" s="8">
        <f t="shared" si="18"/>
        <v>2130.9</v>
      </c>
      <c r="H22" s="8">
        <f t="shared" si="18"/>
        <v>2130.9</v>
      </c>
      <c r="I22" s="8">
        <f t="shared" si="18"/>
        <v>2130.9</v>
      </c>
      <c r="J22" s="8">
        <f t="shared" si="18"/>
        <v>2130.9</v>
      </c>
      <c r="K22" s="8">
        <f t="shared" si="18"/>
        <v>2130.9</v>
      </c>
      <c r="L22" s="8">
        <f t="shared" si="18"/>
        <v>2130.9</v>
      </c>
      <c r="M22" s="8">
        <f t="shared" si="18"/>
        <v>2130.9</v>
      </c>
      <c r="N22" s="8">
        <f t="shared" ref="N22:N33" si="19">SUM(B22:M22)</f>
        <v>25570.800000000007</v>
      </c>
    </row>
    <row r="23" spans="1:15" ht="22.5" customHeight="1" thickBot="1" x14ac:dyDescent="0.3">
      <c r="A23" s="4" t="s">
        <v>2</v>
      </c>
      <c r="B23" s="8">
        <f t="shared" ref="B23" si="20">3551.5*0.17</f>
        <v>603.755</v>
      </c>
      <c r="C23" s="8">
        <f>3551.5*0.2</f>
        <v>710.30000000000007</v>
      </c>
      <c r="D23" s="8">
        <f>3551.5*0.2</f>
        <v>710.30000000000007</v>
      </c>
      <c r="E23" s="8">
        <f t="shared" ref="E23:M23" si="21">3551.5*0.2</f>
        <v>710.30000000000007</v>
      </c>
      <c r="F23" s="8">
        <f t="shared" si="21"/>
        <v>710.30000000000007</v>
      </c>
      <c r="G23" s="8">
        <f t="shared" si="21"/>
        <v>710.30000000000007</v>
      </c>
      <c r="H23" s="8">
        <f t="shared" si="21"/>
        <v>710.30000000000007</v>
      </c>
      <c r="I23" s="8">
        <f t="shared" si="21"/>
        <v>710.30000000000007</v>
      </c>
      <c r="J23" s="8">
        <f t="shared" si="21"/>
        <v>710.30000000000007</v>
      </c>
      <c r="K23" s="8">
        <f t="shared" si="21"/>
        <v>710.30000000000007</v>
      </c>
      <c r="L23" s="8">
        <f t="shared" si="21"/>
        <v>710.30000000000007</v>
      </c>
      <c r="M23" s="8">
        <f t="shared" si="21"/>
        <v>710.30000000000007</v>
      </c>
      <c r="N23" s="8">
        <f t="shared" si="19"/>
        <v>8417.0550000000003</v>
      </c>
    </row>
    <row r="24" spans="1:15" ht="21" customHeight="1" thickBot="1" x14ac:dyDescent="0.3">
      <c r="A24" s="4" t="s">
        <v>3</v>
      </c>
      <c r="B24" s="8">
        <f>76908.29*2.3%</f>
        <v>1768.8906699999998</v>
      </c>
      <c r="C24" s="8">
        <f>76908.29*2.6%</f>
        <v>1999.61554</v>
      </c>
      <c r="D24" s="8">
        <f>76908.29*2.6%</f>
        <v>1999.61554</v>
      </c>
      <c r="E24" s="8">
        <f>76908.29*2.6%</f>
        <v>1999.61554</v>
      </c>
      <c r="F24" s="8">
        <f>76908.29*2.6%</f>
        <v>1999.61554</v>
      </c>
      <c r="G24" s="8">
        <f>76908.29*2.6%</f>
        <v>1999.61554</v>
      </c>
      <c r="H24" s="8">
        <f>78084.83*2.6%</f>
        <v>2030.2055800000003</v>
      </c>
      <c r="I24" s="8">
        <f>110119.35*2.6%</f>
        <v>2863.1031000000003</v>
      </c>
      <c r="J24" s="8">
        <f>110119.35*2.6%</f>
        <v>2863.1031000000003</v>
      </c>
      <c r="K24" s="8">
        <f>110119.35*2.6%</f>
        <v>2863.1031000000003</v>
      </c>
      <c r="L24" s="8">
        <f>110119.35*2.6%</f>
        <v>2863.1031000000003</v>
      </c>
      <c r="M24" s="8">
        <f>110119.35*2.6%</f>
        <v>2863.1031000000003</v>
      </c>
      <c r="N24" s="8">
        <f t="shared" si="19"/>
        <v>28112.689450000002</v>
      </c>
    </row>
    <row r="25" spans="1:15" ht="23.25" customHeight="1" thickBot="1" x14ac:dyDescent="0.3">
      <c r="A25" s="4" t="s">
        <v>4</v>
      </c>
      <c r="B25" s="8">
        <f>62437.88*3%</f>
        <v>1873.1363999999999</v>
      </c>
      <c r="C25" s="8">
        <f>80949.36*3%</f>
        <v>2428.4807999999998</v>
      </c>
      <c r="D25" s="8">
        <f>62376.01*3%</f>
        <v>1871.2802999999999</v>
      </c>
      <c r="E25" s="8">
        <f>69038.56*3%</f>
        <v>2071.1567999999997</v>
      </c>
      <c r="F25" s="8">
        <f>59872.94*3%</f>
        <v>1796.1882000000001</v>
      </c>
      <c r="G25" s="8">
        <f>61391.57*3%</f>
        <v>1841.7470999999998</v>
      </c>
      <c r="H25" s="8">
        <f>64557.88*3%</f>
        <v>1936.7363999999998</v>
      </c>
      <c r="I25" s="8">
        <f>77118.9*3%</f>
        <v>2313.5669999999996</v>
      </c>
      <c r="J25" s="8">
        <f>89661.64*3%</f>
        <v>2689.8492000000001</v>
      </c>
      <c r="K25" s="8">
        <f>80030.06*3%</f>
        <v>2400.9017999999996</v>
      </c>
      <c r="L25" s="8">
        <f>110171.69*3%</f>
        <v>3305.1507000000001</v>
      </c>
      <c r="M25" s="8">
        <f>80832.73*3%</f>
        <v>2424.9818999999998</v>
      </c>
      <c r="N25" s="8">
        <f t="shared" si="19"/>
        <v>26953.176599999999</v>
      </c>
    </row>
    <row r="26" spans="1:15" ht="23.25" customHeight="1" thickBot="1" x14ac:dyDescent="0.3">
      <c r="A26" s="4" t="s">
        <v>9</v>
      </c>
      <c r="B26" s="8">
        <f>3551.5*12</f>
        <v>42618</v>
      </c>
      <c r="C26" s="8">
        <f t="shared" ref="C26:M26" si="22">3551.5*12</f>
        <v>42618</v>
      </c>
      <c r="D26" s="8">
        <f t="shared" si="22"/>
        <v>42618</v>
      </c>
      <c r="E26" s="8">
        <f t="shared" si="22"/>
        <v>42618</v>
      </c>
      <c r="F26" s="8">
        <f t="shared" si="22"/>
        <v>42618</v>
      </c>
      <c r="G26" s="8">
        <f t="shared" si="22"/>
        <v>42618</v>
      </c>
      <c r="H26" s="8">
        <f t="shared" si="22"/>
        <v>42618</v>
      </c>
      <c r="I26" s="8">
        <f t="shared" si="22"/>
        <v>42618</v>
      </c>
      <c r="J26" s="8">
        <f t="shared" si="22"/>
        <v>42618</v>
      </c>
      <c r="K26" s="8">
        <f t="shared" si="22"/>
        <v>42618</v>
      </c>
      <c r="L26" s="8">
        <f t="shared" si="22"/>
        <v>42618</v>
      </c>
      <c r="M26" s="8">
        <f t="shared" si="22"/>
        <v>42618</v>
      </c>
      <c r="N26" s="8">
        <f t="shared" si="19"/>
        <v>511416</v>
      </c>
    </row>
    <row r="27" spans="1:15" ht="26.25" customHeight="1" thickBot="1" x14ac:dyDescent="0.3">
      <c r="A27" s="4" t="s">
        <v>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f t="shared" si="19"/>
        <v>0</v>
      </c>
    </row>
    <row r="28" spans="1:15" ht="26.25" customHeight="1" thickBot="1" x14ac:dyDescent="0.3">
      <c r="A28" s="4" t="s">
        <v>20</v>
      </c>
      <c r="B28" s="8">
        <v>809.1</v>
      </c>
      <c r="C28" s="8">
        <v>809.1</v>
      </c>
      <c r="D28" s="8">
        <v>809.1</v>
      </c>
      <c r="E28" s="8">
        <v>809.1</v>
      </c>
      <c r="F28" s="8">
        <v>809.1</v>
      </c>
      <c r="G28" s="8">
        <v>809.1</v>
      </c>
      <c r="H28" s="8">
        <v>1051.8699999999999</v>
      </c>
      <c r="I28" s="8">
        <v>1051.8699999999999</v>
      </c>
      <c r="J28" s="8">
        <v>1051.8699999999999</v>
      </c>
      <c r="K28" s="8">
        <v>1051.8699999999999</v>
      </c>
      <c r="L28" s="8">
        <v>1051.8699999999999</v>
      </c>
      <c r="M28" s="8">
        <v>1051.8699999999999</v>
      </c>
      <c r="N28" s="8">
        <f t="shared" si="19"/>
        <v>11165.82</v>
      </c>
    </row>
    <row r="29" spans="1:15" ht="26.25" customHeight="1" thickBot="1" x14ac:dyDescent="0.3">
      <c r="A29" s="4" t="s">
        <v>21</v>
      </c>
      <c r="B29" s="8">
        <v>0</v>
      </c>
      <c r="C29" s="8">
        <v>0</v>
      </c>
      <c r="D29" s="8">
        <v>0</v>
      </c>
      <c r="E29" s="8">
        <v>40072.379999999997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1539.38</v>
      </c>
      <c r="N29" s="8">
        <f t="shared" si="19"/>
        <v>41611.759999999995</v>
      </c>
    </row>
    <row r="30" spans="1:15" ht="26.25" customHeight="1" thickBot="1" x14ac:dyDescent="0.3">
      <c r="A30" s="4" t="s">
        <v>25</v>
      </c>
      <c r="B30" s="8">
        <f>544.22+0</f>
        <v>544.22</v>
      </c>
      <c r="C30" s="8">
        <f t="shared" ref="C30:G30" si="23">544.22+0</f>
        <v>544.22</v>
      </c>
      <c r="D30" s="8">
        <f t="shared" si="23"/>
        <v>544.22</v>
      </c>
      <c r="E30" s="8">
        <f t="shared" si="23"/>
        <v>544.22</v>
      </c>
      <c r="F30" s="8">
        <f t="shared" si="23"/>
        <v>544.22</v>
      </c>
      <c r="G30" s="8">
        <f t="shared" si="23"/>
        <v>544.22</v>
      </c>
      <c r="H30" s="8">
        <f>600.62+0</f>
        <v>600.62</v>
      </c>
      <c r="I30" s="8">
        <f t="shared" ref="I30:M30" si="24">600.62+0</f>
        <v>600.62</v>
      </c>
      <c r="J30" s="8">
        <f t="shared" si="24"/>
        <v>600.62</v>
      </c>
      <c r="K30" s="8">
        <f t="shared" si="24"/>
        <v>600.62</v>
      </c>
      <c r="L30" s="8">
        <f t="shared" si="24"/>
        <v>600.62</v>
      </c>
      <c r="M30" s="8">
        <f t="shared" si="24"/>
        <v>600.62</v>
      </c>
      <c r="N30" s="8">
        <f t="shared" si="19"/>
        <v>6869.04</v>
      </c>
    </row>
    <row r="31" spans="1:15" ht="22.5" customHeight="1" thickBot="1" x14ac:dyDescent="0.3">
      <c r="A31" s="4" t="s">
        <v>6</v>
      </c>
      <c r="B31" s="8">
        <f t="shared" ref="B31:H31" si="25">3551.5*2.85</f>
        <v>10121.775</v>
      </c>
      <c r="C31" s="8">
        <f t="shared" si="25"/>
        <v>10121.775</v>
      </c>
      <c r="D31" s="8">
        <f t="shared" si="25"/>
        <v>10121.775</v>
      </c>
      <c r="E31" s="8">
        <f t="shared" si="25"/>
        <v>10121.775</v>
      </c>
      <c r="F31" s="8">
        <f t="shared" si="25"/>
        <v>10121.775</v>
      </c>
      <c r="G31" s="8">
        <f t="shared" si="25"/>
        <v>10121.775</v>
      </c>
      <c r="H31" s="8">
        <f t="shared" si="25"/>
        <v>10121.775</v>
      </c>
      <c r="I31" s="8">
        <f>3551.5*4.2</f>
        <v>14916.300000000001</v>
      </c>
      <c r="J31" s="8">
        <f>3551.5*4.2</f>
        <v>14916.300000000001</v>
      </c>
      <c r="K31" s="8">
        <f t="shared" ref="K31:M31" si="26">3551.5*4.2</f>
        <v>14916.300000000001</v>
      </c>
      <c r="L31" s="8">
        <f t="shared" si="26"/>
        <v>14916.300000000001</v>
      </c>
      <c r="M31" s="8">
        <f t="shared" si="26"/>
        <v>14916.300000000001</v>
      </c>
      <c r="N31" s="8">
        <f t="shared" si="19"/>
        <v>145433.92500000002</v>
      </c>
    </row>
    <row r="32" spans="1:15" ht="24.75" customHeight="1" thickBot="1" x14ac:dyDescent="0.3">
      <c r="A32" s="4" t="s">
        <v>24</v>
      </c>
      <c r="B32" s="8">
        <v>1000</v>
      </c>
      <c r="C32" s="8">
        <v>1000</v>
      </c>
      <c r="D32" s="8">
        <v>1000</v>
      </c>
      <c r="E32" s="8">
        <v>1000</v>
      </c>
      <c r="F32" s="8">
        <v>1000</v>
      </c>
      <c r="G32" s="8">
        <v>1000</v>
      </c>
      <c r="H32" s="8">
        <v>1000</v>
      </c>
      <c r="I32" s="8">
        <v>1000</v>
      </c>
      <c r="J32" s="8">
        <v>1000</v>
      </c>
      <c r="K32" s="8">
        <v>1000</v>
      </c>
      <c r="L32" s="8">
        <v>1000</v>
      </c>
      <c r="M32" s="8">
        <v>1000</v>
      </c>
      <c r="N32" s="8">
        <f>SUM(B32:M32)</f>
        <v>12000</v>
      </c>
    </row>
    <row r="33" spans="1:14" ht="24" customHeight="1" thickBot="1" x14ac:dyDescent="0.3">
      <c r="A33" s="4" t="s">
        <v>10</v>
      </c>
      <c r="B33" s="8">
        <f>210</f>
        <v>210</v>
      </c>
      <c r="C33" s="8">
        <f>12743</f>
        <v>12743</v>
      </c>
      <c r="D33" s="8">
        <v>0</v>
      </c>
      <c r="E33" s="8">
        <v>0</v>
      </c>
      <c r="F33" s="8">
        <f>14263.9+4571.8</f>
        <v>18835.7</v>
      </c>
      <c r="G33" s="8">
        <v>0</v>
      </c>
      <c r="H33" s="8">
        <f>105+105+29165.7+1667.5+2714.6+131343</f>
        <v>165100.79999999999</v>
      </c>
      <c r="I33" s="8">
        <f>42750</f>
        <v>42750</v>
      </c>
      <c r="J33" s="8">
        <f>1450.4</f>
        <v>1450.4</v>
      </c>
      <c r="K33" s="8">
        <f>677.7+6199.1+5859+125+250</f>
        <v>13110.8</v>
      </c>
      <c r="L33" s="8">
        <f>24165+5920.3+6137.3</f>
        <v>36222.6</v>
      </c>
      <c r="M33" s="8">
        <f>7348.2+3530.2</f>
        <v>10878.4</v>
      </c>
      <c r="N33" s="8">
        <f t="shared" si="19"/>
        <v>301301.7</v>
      </c>
    </row>
    <row r="34" spans="1:14" ht="22.5" customHeight="1" thickBot="1" x14ac:dyDescent="0.3">
      <c r="A34" s="18" t="s">
        <v>22</v>
      </c>
      <c r="B34" s="7">
        <f t="shared" ref="B34:M34" si="27">SUM(B22:B33)</f>
        <v>61679.777069999996</v>
      </c>
      <c r="C34" s="7">
        <f t="shared" si="27"/>
        <v>75105.391340000002</v>
      </c>
      <c r="D34" s="7">
        <f t="shared" si="27"/>
        <v>61805.190840000003</v>
      </c>
      <c r="E34" s="7">
        <f t="shared" si="27"/>
        <v>102077.44733999998</v>
      </c>
      <c r="F34" s="7">
        <f t="shared" si="27"/>
        <v>80565.798739999998</v>
      </c>
      <c r="G34" s="7">
        <f t="shared" si="27"/>
        <v>61775.657640000005</v>
      </c>
      <c r="H34" s="7">
        <f t="shared" si="27"/>
        <v>227301.20697999999</v>
      </c>
      <c r="I34" s="7">
        <f t="shared" si="27"/>
        <v>110954.66010000001</v>
      </c>
      <c r="J34" s="7">
        <f t="shared" si="27"/>
        <v>70031.342300000004</v>
      </c>
      <c r="K34" s="7">
        <f t="shared" si="27"/>
        <v>81402.794900000008</v>
      </c>
      <c r="L34" s="7">
        <f t="shared" si="27"/>
        <v>105418.8438</v>
      </c>
      <c r="M34" s="7">
        <f t="shared" si="27"/>
        <v>80733.854999999996</v>
      </c>
      <c r="N34" s="7">
        <f>SUM(B34:M34)</f>
        <v>1118851.9660499999</v>
      </c>
    </row>
    <row r="35" spans="1:14" ht="23.25" customHeight="1" thickBot="1" x14ac:dyDescent="0.3">
      <c r="A35" s="4" t="s">
        <v>5</v>
      </c>
      <c r="B35" s="11">
        <f t="shared" ref="B35:N35" si="28">B14-B34</f>
        <v>1058.1029300000082</v>
      </c>
      <c r="C35" s="11">
        <f t="shared" si="28"/>
        <v>6143.9686599999841</v>
      </c>
      <c r="D35" s="11">
        <f t="shared" si="28"/>
        <v>870.81915999999183</v>
      </c>
      <c r="E35" s="11">
        <f t="shared" si="28"/>
        <v>-32738.887339999972</v>
      </c>
      <c r="F35" s="11">
        <f t="shared" si="28"/>
        <v>-20392.858740000003</v>
      </c>
      <c r="G35" s="11">
        <f t="shared" si="28"/>
        <v>-84.08764000001247</v>
      </c>
      <c r="H35" s="11">
        <f t="shared" si="28"/>
        <v>-162443.32697999998</v>
      </c>
      <c r="I35" s="11">
        <f t="shared" si="28"/>
        <v>-33535.760100000014</v>
      </c>
      <c r="J35" s="11">
        <f t="shared" si="28"/>
        <v>22030.297699999996</v>
      </c>
      <c r="K35" s="11">
        <f t="shared" si="28"/>
        <v>-1072.7349000000104</v>
      </c>
      <c r="L35" s="11">
        <f t="shared" si="28"/>
        <v>5052.8462</v>
      </c>
      <c r="M35" s="11">
        <f t="shared" si="28"/>
        <v>398.87500000001455</v>
      </c>
      <c r="N35" s="8">
        <f t="shared" si="28"/>
        <v>-214712.74604999996</v>
      </c>
    </row>
    <row r="36" spans="1:14" ht="23.25" customHeight="1" thickBot="1" x14ac:dyDescent="0.3">
      <c r="A36" s="4" t="s">
        <v>7</v>
      </c>
      <c r="B36" s="12">
        <f t="shared" ref="B36:N36" si="29">B5+B35</f>
        <v>-231301.77707000001</v>
      </c>
      <c r="C36" s="12">
        <f t="shared" si="29"/>
        <v>-225157.80841000003</v>
      </c>
      <c r="D36" s="12">
        <f t="shared" si="29"/>
        <v>-224286.98925000004</v>
      </c>
      <c r="E36" s="12">
        <f t="shared" si="29"/>
        <v>-257025.87659</v>
      </c>
      <c r="F36" s="12">
        <f t="shared" si="29"/>
        <v>-277418.73533</v>
      </c>
      <c r="G36" s="12">
        <f t="shared" si="29"/>
        <v>-277502.82296999998</v>
      </c>
      <c r="H36" s="12">
        <f t="shared" si="29"/>
        <v>-439946.14994999999</v>
      </c>
      <c r="I36" s="12">
        <f t="shared" si="29"/>
        <v>-473481.91005000001</v>
      </c>
      <c r="J36" s="12">
        <f t="shared" si="29"/>
        <v>-451451.61235000001</v>
      </c>
      <c r="K36" s="12">
        <f t="shared" si="29"/>
        <v>-452524.34724999999</v>
      </c>
      <c r="L36" s="12">
        <f t="shared" si="29"/>
        <v>-447471.50104999996</v>
      </c>
      <c r="M36" s="12">
        <f t="shared" si="29"/>
        <v>-447072.62604999996</v>
      </c>
      <c r="N36" s="12">
        <f t="shared" si="29"/>
        <v>-447072.62604999996</v>
      </c>
    </row>
    <row r="37" spans="1:14" ht="31.2" customHeight="1" thickBot="1" x14ac:dyDescent="0.3">
      <c r="A37" s="20" t="s">
        <v>11</v>
      </c>
      <c r="B37" s="14">
        <f t="shared" ref="B37:H37" si="30">B6+B14-B7</f>
        <v>-1035141.24</v>
      </c>
      <c r="C37" s="14">
        <f t="shared" si="30"/>
        <v>-1031400.17</v>
      </c>
      <c r="D37" s="14">
        <f t="shared" si="30"/>
        <v>-1046232.4500000001</v>
      </c>
      <c r="E37" s="14">
        <f t="shared" si="30"/>
        <v>-1054402.18</v>
      </c>
      <c r="F37" s="14">
        <f t="shared" si="30"/>
        <v>-1071737.53</v>
      </c>
      <c r="G37" s="14">
        <f t="shared" si="30"/>
        <v>-1087554.25</v>
      </c>
      <c r="H37" s="14">
        <f t="shared" si="30"/>
        <v>-1101381.2</v>
      </c>
      <c r="I37" s="14">
        <f t="shared" ref="I37:N37" si="31">I6+I14-I7</f>
        <v>-1134681.6499999999</v>
      </c>
      <c r="J37" s="14">
        <f t="shared" si="31"/>
        <v>-1153339.3599999999</v>
      </c>
      <c r="K37" s="14">
        <f t="shared" si="31"/>
        <v>-1183428.6499999999</v>
      </c>
      <c r="L37" s="14">
        <f t="shared" si="31"/>
        <v>-1183376.31</v>
      </c>
      <c r="M37" s="14">
        <f t="shared" si="31"/>
        <v>-1212662.9300000002</v>
      </c>
      <c r="N37" s="14">
        <f t="shared" si="31"/>
        <v>-1212662.9299999997</v>
      </c>
    </row>
    <row r="38" spans="1:14" ht="20.399999999999999" hidden="1" customHeight="1" thickBot="1" x14ac:dyDescent="0.3">
      <c r="A38" s="24" t="s">
        <v>27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1"/>
    </row>
    <row r="39" spans="1:14" ht="19.2" hidden="1" customHeight="1" thickBot="1" x14ac:dyDescent="0.3">
      <c r="A39" s="24" t="s">
        <v>11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1">
        <f>N37+N38</f>
        <v>-1212662.9299999997</v>
      </c>
    </row>
  </sheetData>
  <mergeCells count="3">
    <mergeCell ref="A1:N1"/>
    <mergeCell ref="A38:M38"/>
    <mergeCell ref="A39:M39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2026-02-13T05:21:34Z</cp:lastPrinted>
  <dcterms:created xsi:type="dcterms:W3CDTF">2011-06-06T03:25:48Z</dcterms:created>
  <dcterms:modified xsi:type="dcterms:W3CDTF">2026-02-13T05:32:33Z</dcterms:modified>
</cp:coreProperties>
</file>