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38" i="1" l="1"/>
  <c r="L38" i="1" l="1"/>
  <c r="K38" i="1" l="1"/>
  <c r="K32" i="1" l="1"/>
  <c r="L32" i="1"/>
  <c r="M32" i="1"/>
  <c r="M29" i="1"/>
  <c r="L29" i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H22" i="1" l="1"/>
  <c r="I22" i="1"/>
  <c r="H14" i="1"/>
  <c r="I14" i="1"/>
  <c r="J14" i="1"/>
  <c r="G22" i="1" l="1"/>
  <c r="F22" i="1"/>
  <c r="E22" i="1"/>
  <c r="C22" i="1"/>
  <c r="D22" i="1"/>
  <c r="B22" i="1"/>
  <c r="C14" i="1"/>
  <c r="D14" i="1"/>
  <c r="E14" i="1"/>
  <c r="F14" i="1"/>
  <c r="G14" i="1"/>
  <c r="B14" i="1"/>
  <c r="J38" i="1" l="1"/>
  <c r="I32" i="1" l="1"/>
  <c r="J32" i="1"/>
  <c r="H32" i="1"/>
  <c r="I29" i="1"/>
  <c r="H29" i="1"/>
  <c r="I38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33" i="1"/>
  <c r="I33" i="1"/>
  <c r="J33" i="1"/>
  <c r="H28" i="1"/>
  <c r="I28" i="1"/>
  <c r="J28" i="1"/>
  <c r="H25" i="1"/>
  <c r="I25" i="1"/>
  <c r="J25" i="1"/>
  <c r="H24" i="1"/>
  <c r="I24" i="1"/>
  <c r="J24" i="1"/>
  <c r="E38" i="1" l="1"/>
  <c r="E32" i="1" l="1"/>
  <c r="F32" i="1"/>
  <c r="G32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G33" i="1" l="1"/>
  <c r="E33" i="1" l="1"/>
  <c r="F33" i="1"/>
  <c r="E28" i="1"/>
  <c r="F28" i="1"/>
  <c r="G28" i="1"/>
  <c r="E25" i="1"/>
  <c r="F25" i="1"/>
  <c r="G25" i="1"/>
  <c r="E24" i="1"/>
  <c r="F24" i="1"/>
  <c r="G24" i="1"/>
  <c r="C32" i="1" l="1"/>
  <c r="D32" i="1"/>
  <c r="B32" i="1"/>
  <c r="D29" i="1"/>
  <c r="C29" i="1"/>
  <c r="B29" i="1"/>
  <c r="D38" i="1" l="1"/>
  <c r="B38" i="1" l="1"/>
  <c r="D26" i="1" l="1"/>
  <c r="C28" i="1" l="1"/>
  <c r="D28" i="1"/>
  <c r="B28" i="1"/>
  <c r="C26" i="1"/>
  <c r="D25" i="1"/>
  <c r="C25" i="1"/>
  <c r="D27" i="1" l="1"/>
  <c r="D16" i="1"/>
  <c r="D8" i="1"/>
  <c r="N42" i="1"/>
  <c r="C27" i="1" l="1"/>
  <c r="C16" i="1"/>
  <c r="C8" i="1"/>
  <c r="B27" i="1" l="1"/>
  <c r="B16" i="1"/>
  <c r="B26" i="1"/>
  <c r="B8" i="1"/>
  <c r="C33" i="1" l="1"/>
  <c r="D33" i="1"/>
  <c r="C24" i="1"/>
  <c r="D24" i="1"/>
  <c r="B33" i="1"/>
  <c r="B25" i="1"/>
  <c r="B24" i="1"/>
  <c r="N35" i="1" l="1"/>
  <c r="N14" i="1" l="1"/>
  <c r="N6" i="1" l="1"/>
  <c r="N5" i="1"/>
  <c r="L7" i="1" l="1"/>
  <c r="N8" i="1"/>
  <c r="N24" i="1"/>
  <c r="N25" i="1"/>
  <c r="N28" i="1"/>
  <c r="N29" i="1"/>
  <c r="N30" i="1"/>
  <c r="N31" i="1"/>
  <c r="N32" i="1"/>
  <c r="N33" i="1"/>
  <c r="N34" i="1"/>
  <c r="N36" i="1"/>
  <c r="N37" i="1"/>
  <c r="N38" i="1"/>
  <c r="N17" i="1"/>
  <c r="N18" i="1"/>
  <c r="N19" i="1"/>
  <c r="N20" i="1"/>
  <c r="N21" i="1"/>
  <c r="N22" i="1"/>
  <c r="N16" i="1"/>
  <c r="K15" i="1"/>
  <c r="L15" i="1"/>
  <c r="M15" i="1"/>
  <c r="N9" i="1"/>
  <c r="N10" i="1"/>
  <c r="N11" i="1"/>
  <c r="N12" i="1"/>
  <c r="N13" i="1"/>
  <c r="K7" i="1"/>
  <c r="M7" i="1"/>
  <c r="M39" i="1" l="1"/>
  <c r="M40" i="1" s="1"/>
  <c r="L39" i="1"/>
  <c r="L40" i="1" s="1"/>
  <c r="N27" i="1"/>
  <c r="K39" i="1"/>
  <c r="K40" i="1" l="1"/>
  <c r="H15" i="1" l="1"/>
  <c r="I15" i="1"/>
  <c r="J15" i="1"/>
  <c r="I7" i="1"/>
  <c r="J7" i="1"/>
  <c r="J39" i="1" l="1"/>
  <c r="J40" i="1" s="1"/>
  <c r="H7" i="1"/>
  <c r="H39" i="1"/>
  <c r="I39" i="1"/>
  <c r="I40" i="1" s="1"/>
  <c r="H40" i="1" l="1"/>
  <c r="E15" i="1" l="1"/>
  <c r="F15" i="1"/>
  <c r="G15" i="1"/>
  <c r="E7" i="1"/>
  <c r="F7" i="1"/>
  <c r="G7" i="1"/>
  <c r="D15" i="1"/>
  <c r="D39" i="1" s="1"/>
  <c r="D40" i="1" s="1"/>
  <c r="D7" i="1"/>
  <c r="C15" i="1"/>
  <c r="C7" i="1"/>
  <c r="B15" i="1"/>
  <c r="B7" i="1"/>
  <c r="G39" i="1" l="1"/>
  <c r="G40" i="1" s="1"/>
  <c r="N7" i="1"/>
  <c r="C39" i="1"/>
  <c r="C40" i="1" s="1"/>
  <c r="N15" i="1"/>
  <c r="F39" i="1"/>
  <c r="F40" i="1" s="1"/>
  <c r="N26" i="1"/>
  <c r="E39" i="1"/>
  <c r="E40" i="1" s="1"/>
  <c r="B43" i="1"/>
  <c r="C6" i="1" s="1"/>
  <c r="C43" i="1" s="1"/>
  <c r="D6" i="1" s="1"/>
  <c r="D43" i="1" s="1"/>
  <c r="N43" i="1" l="1"/>
  <c r="E6" i="1"/>
  <c r="E43" i="1" s="1"/>
  <c r="B39" i="1"/>
  <c r="F6" i="1" l="1"/>
  <c r="F43" i="1" s="1"/>
  <c r="B40" i="1"/>
  <c r="B41" i="1" s="1"/>
  <c r="C5" i="1" s="1"/>
  <c r="C41" i="1" s="1"/>
  <c r="N39" i="1"/>
  <c r="G6" i="1" l="1"/>
  <c r="G43" i="1" s="1"/>
  <c r="D5" i="1"/>
  <c r="N40" i="1"/>
  <c r="N41" i="1" s="1"/>
  <c r="H6" i="1" l="1"/>
  <c r="H43" i="1" s="1"/>
  <c r="D41" i="1"/>
  <c r="E5" i="1" s="1"/>
  <c r="E41" i="1" s="1"/>
  <c r="F5" i="1" s="1"/>
  <c r="F41" i="1" s="1"/>
  <c r="I6" i="1" l="1"/>
  <c r="I43" i="1" s="1"/>
  <c r="G5" i="1"/>
  <c r="G41" i="1" s="1"/>
  <c r="J6" i="1" l="1"/>
  <c r="J43" i="1" s="1"/>
  <c r="H5" i="1"/>
  <c r="H41" i="1" s="1"/>
  <c r="K6" i="1" l="1"/>
  <c r="K43" i="1" s="1"/>
  <c r="I5" i="1"/>
  <c r="I41" i="1" s="1"/>
  <c r="L6" i="1" l="1"/>
  <c r="L43" i="1" s="1"/>
  <c r="J5" i="1"/>
  <c r="J41" i="1" s="1"/>
  <c r="M6" i="1" l="1"/>
  <c r="M43" i="1" s="1"/>
  <c r="K5" i="1"/>
  <c r="K41" i="1" s="1"/>
  <c r="L5" i="1" l="1"/>
  <c r="L41" i="1" s="1"/>
  <c r="M5" i="1" l="1"/>
  <c r="M41" i="1" s="1"/>
</calcChain>
</file>

<file path=xl/sharedStrings.xml><?xml version="1.0" encoding="utf-8"?>
<sst xmlns="http://schemas.openxmlformats.org/spreadsheetml/2006/main" count="54" uniqueCount="45">
  <si>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</si>
  <si>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</si>
  <si>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</si>
  <si>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</si>
  <si>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</si>
  <si>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</si>
  <si>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</si>
  <si>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</si>
  <si>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</si>
  <si>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</si>
  <si>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</si>
  <si>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</si>
  <si>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</si>
  <si>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</si>
  <si>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</si>
  <si>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</si>
  <si>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</si>
  <si>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</si>
  <si>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</si>
  <si>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</si>
  <si>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</si>
  <si>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</si>
  <si>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</si>
  <si>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</si>
  <si>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</si>
  <si>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общедомовых приборов учета</t>
  </si>
  <si>
    <t>Отведение сточных вод ОИ</t>
  </si>
  <si>
    <t>Содержание жилья и текущий ремонт,  ОПУ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</si>
  <si>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</si>
  <si>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</si>
  <si>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</si>
  <si>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</si>
  <si>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</si>
  <si>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</si>
  <si>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</si>
  <si>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</si>
  <si>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</si>
  <si>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</si>
  <si>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</si>
  <si>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</si>
  <si>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</si>
  <si>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</si>
  <si>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</t>
  </si>
  <si>
    <t xml:space="preserve">Корректировка задолженности </t>
  </si>
  <si>
    <t xml:space="preserve">                 ОТЧЕТ по дому Горно-Алтайская, 73 за период 01.01.2025г. по 31.12.2025г.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</si>
</sst>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left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topLeftCell="A22" zoomScale="75" workbookViewId="0">
      <selection activeCell="A22" sqref="A1:I1048576"/>
    </sheetView>
  </sheetViews>
  <sheetFormatPr defaultRowHeight="13.2" x14ac:dyDescent="0.25"/>
  <cols>
    <col min="1" max="1" width="58.6640625" customWidth="1"/>
    <col min="2" max="2" width="14.109375" customWidth="1"/>
    <col min="3" max="3" width="14" customWidth="1"/>
    <col min="4" max="4" width="14.5546875" customWidth="1"/>
    <col min="5" max="5" width="14.109375" customWidth="1"/>
    <col min="6" max="7" width="14" customWidth="1"/>
    <col min="8" max="8" width="14.33203125" customWidth="1"/>
    <col min="9" max="9" width="13.5546875" customWidth="1"/>
    <col min="10" max="13" width="14.5546875" customWidth="1"/>
    <col min="14" max="14" width="16.44140625" customWidth="1"/>
  </cols>
  <sheetData>
    <row r="1" spans="1:18" ht="20.25" customHeight="1" x14ac:dyDescent="0.35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16">
        <v>-551036.02</v>
      </c>
      <c r="C5" s="16">
        <f t="shared" ref="C5:D5" si="0">B41</f>
        <v>-552567.93064000004</v>
      </c>
      <c r="D5" s="16">
        <f t="shared" si="0"/>
        <v>-554690.72394000005</v>
      </c>
      <c r="E5" s="16">
        <f t="shared" ref="E5" si="1">D41</f>
        <v>-560092.74092000001</v>
      </c>
      <c r="F5" s="16">
        <f t="shared" ref="F5" si="2">E41</f>
        <v>-562884.98543999996</v>
      </c>
      <c r="G5" s="16">
        <f t="shared" ref="G5" si="3">F41</f>
        <v>-546482.51283999998</v>
      </c>
      <c r="H5" s="16">
        <f t="shared" ref="H5" si="4">G41</f>
        <v>-540781.30746000004</v>
      </c>
      <c r="I5" s="16">
        <f t="shared" ref="I5" si="5">H41</f>
        <v>-555691.99426000006</v>
      </c>
      <c r="J5" s="16">
        <f t="shared" ref="J5" si="6">I41</f>
        <v>-534452.87818</v>
      </c>
      <c r="K5" s="16">
        <f t="shared" ref="K5" si="7">J41</f>
        <v>-565888.95045999996</v>
      </c>
      <c r="L5" s="16">
        <f t="shared" ref="L5" si="8">K41</f>
        <v>-719706.08850000007</v>
      </c>
      <c r="M5" s="16">
        <f t="shared" ref="M5" si="9">L41</f>
        <v>-705616.66136000003</v>
      </c>
      <c r="N5" s="16">
        <f>B5</f>
        <v>-551036.02</v>
      </c>
    </row>
    <row r="6" spans="1:18" ht="21" customHeight="1" thickBot="1" x14ac:dyDescent="0.3">
      <c r="A6" s="7" t="s">
        <v>13</v>
      </c>
      <c r="B6" s="16">
        <v>-118562.31</v>
      </c>
      <c r="C6" s="16">
        <f t="shared" ref="C6:M6" si="10">B43</f>
        <v>-126811.25</v>
      </c>
      <c r="D6" s="16">
        <f t="shared" si="10"/>
        <v>-144578.85999999999</v>
      </c>
      <c r="E6" s="16">
        <f t="shared" si="10"/>
        <v>-145278.58999999997</v>
      </c>
      <c r="F6" s="16">
        <f t="shared" si="10"/>
        <v>-155639.52999999997</v>
      </c>
      <c r="G6" s="16">
        <f t="shared" si="10"/>
        <v>-151810.98999999996</v>
      </c>
      <c r="H6" s="16">
        <f t="shared" si="10"/>
        <v>-165850.53999999995</v>
      </c>
      <c r="I6" s="16">
        <f t="shared" si="10"/>
        <v>-176558.21999999994</v>
      </c>
      <c r="J6" s="16">
        <f t="shared" si="10"/>
        <v>-181903.61999999994</v>
      </c>
      <c r="K6" s="16">
        <f t="shared" si="10"/>
        <v>-181286.71999999997</v>
      </c>
      <c r="L6" s="16">
        <f t="shared" si="10"/>
        <v>-180500.38</v>
      </c>
      <c r="M6" s="16">
        <f t="shared" si="10"/>
        <v>-195668.81</v>
      </c>
      <c r="N6" s="16">
        <f>B6</f>
        <v>-118562.31</v>
      </c>
    </row>
    <row r="7" spans="1:18" ht="20.25" customHeight="1" thickBot="1" x14ac:dyDescent="0.3">
      <c r="A7" s="8" t="s">
        <v>12</v>
      </c>
      <c r="B7" s="14">
        <f>SUM(B8:B14)</f>
        <v>70518.28</v>
      </c>
      <c r="C7" s="14">
        <f>SUM(C8:C14)</f>
        <v>76094.849999999991</v>
      </c>
      <c r="D7" s="14">
        <f>SUM(D8:D14)</f>
        <v>73624.680000000008</v>
      </c>
      <c r="E7" s="14">
        <f t="shared" ref="E7:M7" si="11">SUM(E8:E14)</f>
        <v>78791.119999999981</v>
      </c>
      <c r="F7" s="14">
        <f t="shared" si="11"/>
        <v>64207.700000000004</v>
      </c>
      <c r="G7" s="14">
        <f t="shared" si="11"/>
        <v>77488.76999999999</v>
      </c>
      <c r="H7" s="14">
        <f t="shared" si="11"/>
        <v>81672.45</v>
      </c>
      <c r="I7" s="14">
        <f t="shared" si="11"/>
        <v>93194.57</v>
      </c>
      <c r="J7" s="14">
        <f t="shared" si="11"/>
        <v>82256.88</v>
      </c>
      <c r="K7" s="14">
        <f t="shared" si="11"/>
        <v>77245.14</v>
      </c>
      <c r="L7" s="14">
        <f t="shared" si="11"/>
        <v>86841.709999999992</v>
      </c>
      <c r="M7" s="14">
        <f t="shared" si="11"/>
        <v>77319.210000000006</v>
      </c>
      <c r="N7" s="14">
        <f>SUM(B7:M7)</f>
        <v>939255.36</v>
      </c>
    </row>
    <row r="8" spans="1:18" ht="22.2" customHeight="1" thickBot="1" x14ac:dyDescent="0.3">
      <c r="A8" s="4" t="s">
        <v>27</v>
      </c>
      <c r="B8" s="9">
        <f>56603.51+1470.89</f>
        <v>58074.400000000001</v>
      </c>
      <c r="C8" s="9">
        <f>56603.51+1470.89</f>
        <v>58074.400000000001</v>
      </c>
      <c r="D8" s="9">
        <f>56603.51+1470.89</f>
        <v>58074.400000000001</v>
      </c>
      <c r="E8" s="9">
        <f>56603.51+1470.89</f>
        <v>58074.400000000001</v>
      </c>
      <c r="F8" s="9">
        <f>56603.51+1470.89</f>
        <v>58074.400000000001</v>
      </c>
      <c r="G8" s="9">
        <f t="shared" ref="G8:L8" si="12">69740+1470.89</f>
        <v>71210.89</v>
      </c>
      <c r="H8" s="9">
        <f t="shared" si="12"/>
        <v>71210.89</v>
      </c>
      <c r="I8" s="9">
        <f t="shared" si="12"/>
        <v>71210.89</v>
      </c>
      <c r="J8" s="9">
        <f t="shared" si="12"/>
        <v>71210.89</v>
      </c>
      <c r="K8" s="9">
        <f t="shared" si="12"/>
        <v>71210.89</v>
      </c>
      <c r="L8" s="9">
        <f t="shared" si="12"/>
        <v>71210.89</v>
      </c>
      <c r="M8" s="9">
        <f>69740+1470.89</f>
        <v>71210.89</v>
      </c>
      <c r="N8" s="9">
        <f>SUM(B8:M8)</f>
        <v>788848.2300000001</v>
      </c>
    </row>
    <row r="9" spans="1:18" ht="24.75" customHeight="1" thickBot="1" x14ac:dyDescent="0.3">
      <c r="A9" s="4" t="s">
        <v>17</v>
      </c>
      <c r="B9" s="9">
        <v>0</v>
      </c>
      <c r="C9" s="9">
        <v>10541.63</v>
      </c>
      <c r="D9" s="9">
        <v>4713.2299999999996</v>
      </c>
      <c r="E9" s="9">
        <v>11564.38</v>
      </c>
      <c r="F9" s="9">
        <v>0</v>
      </c>
      <c r="G9" s="9">
        <v>0</v>
      </c>
      <c r="H9" s="9">
        <v>0</v>
      </c>
      <c r="I9" s="9">
        <v>7411.11</v>
      </c>
      <c r="J9" s="9">
        <v>4811.74</v>
      </c>
      <c r="K9" s="9">
        <v>0</v>
      </c>
      <c r="L9" s="9">
        <v>0</v>
      </c>
      <c r="M9" s="9">
        <v>74.069999999999993</v>
      </c>
      <c r="N9" s="9">
        <f t="shared" ref="N9:N14" si="13">SUM(B9:M9)</f>
        <v>39116.159999999996</v>
      </c>
    </row>
    <row r="10" spans="1:18" ht="21.75" customHeight="1" thickBot="1" x14ac:dyDescent="0.3">
      <c r="A10" s="4" t="s">
        <v>18</v>
      </c>
      <c r="B10" s="9">
        <v>249.54</v>
      </c>
      <c r="C10" s="9">
        <v>249.54</v>
      </c>
      <c r="D10" s="9">
        <v>249.54</v>
      </c>
      <c r="E10" s="9">
        <v>249.54</v>
      </c>
      <c r="F10" s="9">
        <v>249.54</v>
      </c>
      <c r="G10" s="9">
        <v>249.54</v>
      </c>
      <c r="H10" s="9">
        <v>324.41000000000003</v>
      </c>
      <c r="I10" s="9">
        <v>324.41000000000003</v>
      </c>
      <c r="J10" s="9">
        <v>324.41000000000003</v>
      </c>
      <c r="K10" s="9">
        <v>324.41000000000003</v>
      </c>
      <c r="L10" s="9">
        <v>324.41000000000003</v>
      </c>
      <c r="M10" s="9">
        <v>324.41000000000003</v>
      </c>
      <c r="N10" s="9">
        <f t="shared" si="13"/>
        <v>3443.6999999999994</v>
      </c>
    </row>
    <row r="11" spans="1:18" ht="22.5" customHeight="1" thickBot="1" x14ac:dyDescent="0.3">
      <c r="A11" s="4" t="s">
        <v>19</v>
      </c>
      <c r="B11" s="9">
        <v>6310.58</v>
      </c>
      <c r="C11" s="9">
        <v>1345.52</v>
      </c>
      <c r="D11" s="9">
        <v>4703.75</v>
      </c>
      <c r="E11" s="9">
        <v>3019.04</v>
      </c>
      <c r="F11" s="9">
        <v>0</v>
      </c>
      <c r="G11" s="9">
        <v>144.58000000000001</v>
      </c>
      <c r="H11" s="9">
        <v>4253.3900000000003</v>
      </c>
      <c r="I11" s="9">
        <v>8338.32</v>
      </c>
      <c r="J11" s="9">
        <v>0</v>
      </c>
      <c r="K11" s="9">
        <v>0</v>
      </c>
      <c r="L11" s="9">
        <v>9596.57</v>
      </c>
      <c r="M11" s="9">
        <v>0</v>
      </c>
      <c r="N11" s="9">
        <f t="shared" si="13"/>
        <v>37711.75</v>
      </c>
    </row>
    <row r="12" spans="1:18" ht="22.5" customHeight="1" thickBot="1" x14ac:dyDescent="0.3">
      <c r="A12" s="4" t="s">
        <v>26</v>
      </c>
      <c r="B12" s="9">
        <v>251.76</v>
      </c>
      <c r="C12" s="9">
        <v>251.76</v>
      </c>
      <c r="D12" s="9">
        <v>251.76</v>
      </c>
      <c r="E12" s="9">
        <v>251.76</v>
      </c>
      <c r="F12" s="9">
        <v>251.76</v>
      </c>
      <c r="G12" s="9">
        <v>251.76</v>
      </c>
      <c r="H12" s="9">
        <v>251.76</v>
      </c>
      <c r="I12" s="9">
        <v>277.83999999999997</v>
      </c>
      <c r="J12" s="9">
        <v>277.83999999999997</v>
      </c>
      <c r="K12" s="9">
        <v>277.83999999999997</v>
      </c>
      <c r="L12" s="9">
        <v>277.83999999999997</v>
      </c>
      <c r="M12" s="9">
        <v>277.83999999999997</v>
      </c>
      <c r="N12" s="9">
        <f t="shared" si="13"/>
        <v>3151.5200000000004</v>
      </c>
    </row>
    <row r="13" spans="1:18" ht="22.5" customHeight="1" thickBot="1" x14ac:dyDescent="0.3">
      <c r="A13" s="4" t="s">
        <v>28</v>
      </c>
      <c r="B13" s="9">
        <v>5262</v>
      </c>
      <c r="C13" s="9">
        <v>5262</v>
      </c>
      <c r="D13" s="9">
        <v>5262</v>
      </c>
      <c r="E13" s="9">
        <v>5262</v>
      </c>
      <c r="F13" s="9">
        <v>5262</v>
      </c>
      <c r="G13" s="9">
        <v>5262</v>
      </c>
      <c r="H13" s="9">
        <v>5262</v>
      </c>
      <c r="I13" s="9">
        <v>5262</v>
      </c>
      <c r="J13" s="9">
        <v>5262</v>
      </c>
      <c r="K13" s="9">
        <v>5262</v>
      </c>
      <c r="L13" s="9">
        <v>5262</v>
      </c>
      <c r="M13" s="9">
        <v>5262</v>
      </c>
      <c r="N13" s="9">
        <f t="shared" si="13"/>
        <v>63144</v>
      </c>
    </row>
    <row r="14" spans="1:18" ht="24" customHeight="1" thickBot="1" x14ac:dyDescent="0.3">
      <c r="A14" s="4" t="s">
        <v>15</v>
      </c>
      <c r="B14" s="9">
        <f>670-300</f>
        <v>370</v>
      </c>
      <c r="C14" s="9">
        <f t="shared" ref="C14:J14" si="14">670-300</f>
        <v>370</v>
      </c>
      <c r="D14" s="9">
        <f t="shared" si="14"/>
        <v>370</v>
      </c>
      <c r="E14" s="9">
        <f t="shared" si="14"/>
        <v>370</v>
      </c>
      <c r="F14" s="9">
        <f t="shared" si="14"/>
        <v>370</v>
      </c>
      <c r="G14" s="9">
        <f t="shared" si="14"/>
        <v>370</v>
      </c>
      <c r="H14" s="9">
        <f t="shared" si="14"/>
        <v>370</v>
      </c>
      <c r="I14" s="9">
        <f t="shared" si="14"/>
        <v>370</v>
      </c>
      <c r="J14" s="9">
        <f t="shared" si="14"/>
        <v>370</v>
      </c>
      <c r="K14" s="9">
        <v>170</v>
      </c>
      <c r="L14" s="9">
        <v>170</v>
      </c>
      <c r="M14" s="9">
        <v>170</v>
      </c>
      <c r="N14" s="9">
        <f t="shared" si="13"/>
        <v>3840</v>
      </c>
    </row>
    <row r="15" spans="1:18" ht="20.25" customHeight="1" thickBot="1" x14ac:dyDescent="0.3">
      <c r="A15" s="10" t="s">
        <v>8</v>
      </c>
      <c r="B15" s="17">
        <f>SUM(B16:B22)</f>
        <v>62269.340000000004</v>
      </c>
      <c r="C15" s="17">
        <f>SUM(C16:C22)</f>
        <v>58327.24</v>
      </c>
      <c r="D15" s="17">
        <f>SUM(D16:D22)</f>
        <v>60477.51</v>
      </c>
      <c r="E15" s="17">
        <f t="shared" ref="E15:M15" si="15">SUM(E16:E22)</f>
        <v>68430.179999999993</v>
      </c>
      <c r="F15" s="17">
        <f t="shared" si="15"/>
        <v>68036.240000000005</v>
      </c>
      <c r="G15" s="17">
        <f t="shared" si="15"/>
        <v>63449.22</v>
      </c>
      <c r="H15" s="17">
        <f t="shared" si="15"/>
        <v>70964.77</v>
      </c>
      <c r="I15" s="17">
        <f t="shared" si="15"/>
        <v>87849.170000000013</v>
      </c>
      <c r="J15" s="17">
        <f t="shared" si="15"/>
        <v>82873.779999999984</v>
      </c>
      <c r="K15" s="17">
        <f t="shared" si="15"/>
        <v>78031.479999999981</v>
      </c>
      <c r="L15" s="17">
        <f t="shared" si="15"/>
        <v>71673.279999999999</v>
      </c>
      <c r="M15" s="17">
        <f t="shared" si="15"/>
        <v>83951.200000000012</v>
      </c>
      <c r="N15" s="17">
        <f>SUM(B15:M15)</f>
        <v>856333.41000000015</v>
      </c>
    </row>
    <row r="16" spans="1:18" ht="24" customHeight="1" thickBot="1" x14ac:dyDescent="0.3">
      <c r="A16" s="4" t="s">
        <v>27</v>
      </c>
      <c r="B16" s="9">
        <f>50918.81+1326.41</f>
        <v>52245.22</v>
      </c>
      <c r="C16" s="9">
        <f>47084.44+1223.96</f>
        <v>48308.4</v>
      </c>
      <c r="D16" s="9">
        <f>50729.91+1304.35</f>
        <v>52034.26</v>
      </c>
      <c r="E16" s="9">
        <f>55809.65+1464.29</f>
        <v>57273.94</v>
      </c>
      <c r="F16" s="9">
        <f>56864.75+1448.62</f>
        <v>58313.37</v>
      </c>
      <c r="G16" s="9">
        <f>56114.35+1625.71</f>
        <v>57740.06</v>
      </c>
      <c r="H16" s="9">
        <f>64209.79+1382.15</f>
        <v>65591.94</v>
      </c>
      <c r="I16" s="9">
        <f>75095.81+1651.96</f>
        <v>76747.77</v>
      </c>
      <c r="J16" s="9">
        <f>61312.85+1270.03</f>
        <v>62582.879999999997</v>
      </c>
      <c r="K16" s="9">
        <f>65951.87+1389.31</f>
        <v>67341.179999999993</v>
      </c>
      <c r="L16" s="9">
        <f>64355.77+1357.1</f>
        <v>65712.87</v>
      </c>
      <c r="M16" s="9">
        <f>67524.49+1416.41</f>
        <v>68940.900000000009</v>
      </c>
      <c r="N16" s="9">
        <f>SUM(B16:M16)</f>
        <v>732832.79</v>
      </c>
    </row>
    <row r="17" spans="1:15" ht="26.25" customHeight="1" thickBot="1" x14ac:dyDescent="0.3">
      <c r="A17" s="4" t="s">
        <v>17</v>
      </c>
      <c r="B17" s="9">
        <v>0</v>
      </c>
      <c r="C17" s="9">
        <v>0</v>
      </c>
      <c r="D17" s="9">
        <v>29.13</v>
      </c>
      <c r="E17" s="9">
        <v>0</v>
      </c>
      <c r="F17" s="9">
        <v>1161.17</v>
      </c>
      <c r="G17" s="9">
        <v>85.39</v>
      </c>
      <c r="H17" s="9">
        <v>0.06</v>
      </c>
      <c r="I17" s="9">
        <v>114.96</v>
      </c>
      <c r="J17" s="9">
        <v>6391.78</v>
      </c>
      <c r="K17" s="9">
        <v>4661</v>
      </c>
      <c r="L17" s="9">
        <v>194.23</v>
      </c>
      <c r="M17" s="9">
        <v>1.47</v>
      </c>
      <c r="N17" s="9">
        <f t="shared" ref="N17:N22" si="16">SUM(B17:M17)</f>
        <v>12639.189999999999</v>
      </c>
    </row>
    <row r="18" spans="1:15" ht="26.25" customHeight="1" thickBot="1" x14ac:dyDescent="0.3">
      <c r="A18" s="4" t="s">
        <v>18</v>
      </c>
      <c r="B18" s="9">
        <v>224.03</v>
      </c>
      <c r="C18" s="9">
        <v>207.58</v>
      </c>
      <c r="D18" s="9">
        <v>223.73</v>
      </c>
      <c r="E18" s="9">
        <v>243.67</v>
      </c>
      <c r="F18" s="9">
        <v>250.34</v>
      </c>
      <c r="G18" s="9">
        <v>247.5</v>
      </c>
      <c r="H18" s="9">
        <v>231.16</v>
      </c>
      <c r="I18" s="9">
        <v>345.22</v>
      </c>
      <c r="J18" s="9">
        <v>285.29000000000002</v>
      </c>
      <c r="K18" s="9">
        <v>306.81</v>
      </c>
      <c r="L18" s="9">
        <v>298.14</v>
      </c>
      <c r="M18" s="9">
        <v>314.10000000000002</v>
      </c>
      <c r="N18" s="9">
        <f t="shared" si="16"/>
        <v>3177.5699999999997</v>
      </c>
    </row>
    <row r="19" spans="1:15" ht="24" customHeight="1" thickBot="1" x14ac:dyDescent="0.3">
      <c r="A19" s="4" t="s">
        <v>19</v>
      </c>
      <c r="B19" s="9">
        <v>4960.26</v>
      </c>
      <c r="C19" s="9">
        <v>5238.5600000000004</v>
      </c>
      <c r="D19" s="9">
        <v>1469.1</v>
      </c>
      <c r="E19" s="9">
        <v>4483.5600000000004</v>
      </c>
      <c r="F19" s="9">
        <v>3182.72</v>
      </c>
      <c r="G19" s="9">
        <v>437.16</v>
      </c>
      <c r="H19" s="9">
        <v>129.80000000000001</v>
      </c>
      <c r="I19" s="9">
        <v>4645.72</v>
      </c>
      <c r="J19" s="9">
        <v>7274.7</v>
      </c>
      <c r="K19" s="9">
        <v>400.87</v>
      </c>
      <c r="L19" s="9">
        <v>217.83</v>
      </c>
      <c r="M19" s="9">
        <v>8539.51</v>
      </c>
      <c r="N19" s="9">
        <f t="shared" si="16"/>
        <v>40979.79</v>
      </c>
    </row>
    <row r="20" spans="1:15" ht="24" customHeight="1" thickBot="1" x14ac:dyDescent="0.3">
      <c r="A20" s="4" t="s">
        <v>26</v>
      </c>
      <c r="B20" s="9">
        <v>4.78</v>
      </c>
      <c r="C20" s="9">
        <v>0</v>
      </c>
      <c r="D20" s="9">
        <v>8.25</v>
      </c>
      <c r="E20" s="9">
        <v>0</v>
      </c>
      <c r="F20" s="9">
        <v>0</v>
      </c>
      <c r="G20" s="9">
        <v>15.47</v>
      </c>
      <c r="H20" s="9">
        <v>0.01</v>
      </c>
      <c r="I20" s="9">
        <v>57.7</v>
      </c>
      <c r="J20" s="9">
        <v>205.98</v>
      </c>
      <c r="K20" s="9">
        <v>255.87</v>
      </c>
      <c r="L20" s="9">
        <v>246.88</v>
      </c>
      <c r="M20" s="9">
        <v>269.06</v>
      </c>
      <c r="N20" s="9">
        <f t="shared" si="16"/>
        <v>1064</v>
      </c>
    </row>
    <row r="21" spans="1:15" ht="24" customHeight="1" thickBot="1" x14ac:dyDescent="0.3">
      <c r="A21" s="4" t="s">
        <v>28</v>
      </c>
      <c r="B21" s="9">
        <v>4735.05</v>
      </c>
      <c r="C21" s="9">
        <v>4472.7</v>
      </c>
      <c r="D21" s="9">
        <v>6613.04</v>
      </c>
      <c r="E21" s="9">
        <v>5209.01</v>
      </c>
      <c r="F21" s="9">
        <v>5028.6400000000003</v>
      </c>
      <c r="G21" s="9">
        <v>4823.6400000000003</v>
      </c>
      <c r="H21" s="9">
        <v>4911.8</v>
      </c>
      <c r="I21" s="9">
        <v>5837.8</v>
      </c>
      <c r="J21" s="9">
        <v>4633.1499999999996</v>
      </c>
      <c r="K21" s="9">
        <v>4965.75</v>
      </c>
      <c r="L21" s="9">
        <v>4903.33</v>
      </c>
      <c r="M21" s="9">
        <v>5086.16</v>
      </c>
      <c r="N21" s="9">
        <f t="shared" si="16"/>
        <v>61220.070000000007</v>
      </c>
    </row>
    <row r="22" spans="1:15" ht="21" customHeight="1" thickBot="1" x14ac:dyDescent="0.3">
      <c r="A22" s="4" t="s">
        <v>15</v>
      </c>
      <c r="B22" s="15">
        <f>400-300</f>
        <v>100</v>
      </c>
      <c r="C22" s="15">
        <f t="shared" ref="C22:D22" si="17">400-300</f>
        <v>100</v>
      </c>
      <c r="D22" s="15">
        <f t="shared" si="17"/>
        <v>100</v>
      </c>
      <c r="E22" s="15">
        <f>1520-300</f>
        <v>1220</v>
      </c>
      <c r="F22" s="15">
        <f>400-300</f>
        <v>100</v>
      </c>
      <c r="G22" s="15">
        <f>400-300</f>
        <v>100</v>
      </c>
      <c r="H22" s="15">
        <f t="shared" ref="H22:I22" si="18">400-300</f>
        <v>100</v>
      </c>
      <c r="I22" s="15">
        <f t="shared" si="18"/>
        <v>100</v>
      </c>
      <c r="J22" s="15">
        <v>1500</v>
      </c>
      <c r="K22" s="9">
        <v>100</v>
      </c>
      <c r="L22" s="9">
        <v>100</v>
      </c>
      <c r="M22" s="9">
        <v>800</v>
      </c>
      <c r="N22" s="9">
        <f t="shared" si="16"/>
        <v>4420</v>
      </c>
      <c r="O22" s="3"/>
    </row>
    <row r="23" spans="1:15" ht="21.75" customHeight="1" thickBot="1" x14ac:dyDescent="0.35">
      <c r="A23" s="11" t="s">
        <v>24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5" ht="19.5" customHeight="1" thickBot="1" x14ac:dyDescent="0.3">
      <c r="A24" s="4" t="s">
        <v>1</v>
      </c>
      <c r="B24" s="9">
        <f t="shared" ref="B24:M24" si="19">2536*0.6</f>
        <v>1521.6</v>
      </c>
      <c r="C24" s="9">
        <f t="shared" si="19"/>
        <v>1521.6</v>
      </c>
      <c r="D24" s="9">
        <f t="shared" si="19"/>
        <v>1521.6</v>
      </c>
      <c r="E24" s="9">
        <f t="shared" si="19"/>
        <v>1521.6</v>
      </c>
      <c r="F24" s="9">
        <f t="shared" si="19"/>
        <v>1521.6</v>
      </c>
      <c r="G24" s="9">
        <f t="shared" si="19"/>
        <v>1521.6</v>
      </c>
      <c r="H24" s="9">
        <f t="shared" si="19"/>
        <v>1521.6</v>
      </c>
      <c r="I24" s="9">
        <f t="shared" si="19"/>
        <v>1521.6</v>
      </c>
      <c r="J24" s="9">
        <f t="shared" si="19"/>
        <v>1521.6</v>
      </c>
      <c r="K24" s="9">
        <f t="shared" si="19"/>
        <v>1521.6</v>
      </c>
      <c r="L24" s="9">
        <f t="shared" si="19"/>
        <v>1521.6</v>
      </c>
      <c r="M24" s="9">
        <f t="shared" si="19"/>
        <v>1521.6</v>
      </c>
      <c r="N24" s="9">
        <f t="shared" ref="N24:N38" si="20">SUM(B24:M24)</f>
        <v>18259.2</v>
      </c>
    </row>
    <row r="25" spans="1:15" ht="22.5" customHeight="1" thickBot="1" x14ac:dyDescent="0.3">
      <c r="A25" s="4" t="s">
        <v>2</v>
      </c>
      <c r="B25" s="9">
        <f t="shared" ref="B25" si="21">2536*0.17</f>
        <v>431.12</v>
      </c>
      <c r="C25" s="9">
        <f>2536*0.2</f>
        <v>507.20000000000005</v>
      </c>
      <c r="D25" s="9">
        <f>2536*0.2</f>
        <v>507.20000000000005</v>
      </c>
      <c r="E25" s="9">
        <f t="shared" ref="E25:M25" si="22">2536*0.2</f>
        <v>507.20000000000005</v>
      </c>
      <c r="F25" s="9">
        <f t="shared" si="22"/>
        <v>507.20000000000005</v>
      </c>
      <c r="G25" s="9">
        <f t="shared" si="22"/>
        <v>507.20000000000005</v>
      </c>
      <c r="H25" s="9">
        <f t="shared" si="22"/>
        <v>507.20000000000005</v>
      </c>
      <c r="I25" s="9">
        <f t="shared" si="22"/>
        <v>507.20000000000005</v>
      </c>
      <c r="J25" s="9">
        <f t="shared" si="22"/>
        <v>507.20000000000005</v>
      </c>
      <c r="K25" s="9">
        <f t="shared" si="22"/>
        <v>507.20000000000005</v>
      </c>
      <c r="L25" s="9">
        <f t="shared" si="22"/>
        <v>507.20000000000005</v>
      </c>
      <c r="M25" s="9">
        <f t="shared" si="22"/>
        <v>507.20000000000005</v>
      </c>
      <c r="N25" s="9">
        <f t="shared" si="20"/>
        <v>6010.3199999999988</v>
      </c>
    </row>
    <row r="26" spans="1:15" ht="21" customHeight="1" thickBot="1" x14ac:dyDescent="0.3">
      <c r="A26" s="4" t="s">
        <v>3</v>
      </c>
      <c r="B26" s="9">
        <f>70148.28*2.3%</f>
        <v>1613.4104399999999</v>
      </c>
      <c r="C26" s="9">
        <f>75724.85*2.6%</f>
        <v>1968.8461000000004</v>
      </c>
      <c r="D26" s="9">
        <f>73254.68*2.6%</f>
        <v>1904.62168</v>
      </c>
      <c r="E26" s="9">
        <f>78421.12*2.6%</f>
        <v>2038.94912</v>
      </c>
      <c r="F26" s="9">
        <f>63837.7*2.6%</f>
        <v>1659.7802000000001</v>
      </c>
      <c r="G26" s="9">
        <f>77118.77*2.6%</f>
        <v>2005.0880200000004</v>
      </c>
      <c r="H26" s="9">
        <f>81302.45*2.6%</f>
        <v>2113.8637000000003</v>
      </c>
      <c r="I26" s="9">
        <f>92824.57*2.6%</f>
        <v>2413.4388200000003</v>
      </c>
      <c r="J26" s="9">
        <f>81886.88*2.6%</f>
        <v>2129.0588800000005</v>
      </c>
      <c r="K26" s="9">
        <f>77075.14*2.6%</f>
        <v>2003.9536400000002</v>
      </c>
      <c r="L26" s="9">
        <f>86671.71*2.6%</f>
        <v>2253.4644600000001</v>
      </c>
      <c r="M26" s="9">
        <f>77149.21*2.6%</f>
        <v>2005.8794600000003</v>
      </c>
      <c r="N26" s="9">
        <f t="shared" si="20"/>
        <v>24110.354520000001</v>
      </c>
    </row>
    <row r="27" spans="1:15" ht="23.25" customHeight="1" thickBot="1" x14ac:dyDescent="0.3">
      <c r="A27" s="4" t="s">
        <v>4</v>
      </c>
      <c r="B27" s="9">
        <f>62169.34*3%</f>
        <v>1865.0801999999999</v>
      </c>
      <c r="C27" s="9">
        <f>58227.24*3%</f>
        <v>1746.8172</v>
      </c>
      <c r="D27" s="9">
        <f>60377.51*3%</f>
        <v>1811.3253</v>
      </c>
      <c r="E27" s="9">
        <f>67210.18*3%</f>
        <v>2016.3053999999997</v>
      </c>
      <c r="F27" s="9">
        <f>67936.24*3%</f>
        <v>2038.0872000000002</v>
      </c>
      <c r="G27" s="9">
        <f>63349.22*3%</f>
        <v>1900.4766</v>
      </c>
      <c r="H27" s="9">
        <f>70864.77*3%</f>
        <v>2125.9431</v>
      </c>
      <c r="I27" s="9">
        <f>87749.17*3%</f>
        <v>2632.4750999999997</v>
      </c>
      <c r="J27" s="9">
        <f>81373.78*3%</f>
        <v>2441.2134000000001</v>
      </c>
      <c r="K27" s="9">
        <f>77931.48*3%</f>
        <v>2337.9443999999999</v>
      </c>
      <c r="L27" s="9">
        <f>71573.28*3%</f>
        <v>2147.1983999999998</v>
      </c>
      <c r="M27" s="9">
        <f>83151.2*3%</f>
        <v>2494.5359999999996</v>
      </c>
      <c r="N27" s="9">
        <f t="shared" si="20"/>
        <v>25557.402300000002</v>
      </c>
    </row>
    <row r="28" spans="1:15" ht="23.25" customHeight="1" thickBot="1" x14ac:dyDescent="0.3">
      <c r="A28" s="4" t="s">
        <v>9</v>
      </c>
      <c r="B28" s="20">
        <f>2536*12</f>
        <v>30432</v>
      </c>
      <c r="C28" s="20">
        <f t="shared" ref="C28:M28" si="23">2536*12</f>
        <v>30432</v>
      </c>
      <c r="D28" s="20">
        <f t="shared" si="23"/>
        <v>30432</v>
      </c>
      <c r="E28" s="20">
        <f t="shared" si="23"/>
        <v>30432</v>
      </c>
      <c r="F28" s="20">
        <f t="shared" si="23"/>
        <v>30432</v>
      </c>
      <c r="G28" s="20">
        <f t="shared" si="23"/>
        <v>30432</v>
      </c>
      <c r="H28" s="20">
        <f t="shared" si="23"/>
        <v>30432</v>
      </c>
      <c r="I28" s="20">
        <f t="shared" si="23"/>
        <v>30432</v>
      </c>
      <c r="J28" s="20">
        <f t="shared" si="23"/>
        <v>30432</v>
      </c>
      <c r="K28" s="20">
        <f t="shared" si="23"/>
        <v>30432</v>
      </c>
      <c r="L28" s="20">
        <f t="shared" si="23"/>
        <v>30432</v>
      </c>
      <c r="M28" s="20">
        <f t="shared" si="23"/>
        <v>30432</v>
      </c>
      <c r="N28" s="9">
        <f t="shared" si="20"/>
        <v>365184</v>
      </c>
    </row>
    <row r="29" spans="1:15" ht="26.25" customHeight="1" thickBot="1" x14ac:dyDescent="0.3">
      <c r="A29" s="4" t="s">
        <v>20</v>
      </c>
      <c r="B29" s="9">
        <f>9432.02+1109.5</f>
        <v>10541.52</v>
      </c>
      <c r="C29" s="9">
        <f>4217.14+496.09</f>
        <v>4713.2300000000005</v>
      </c>
      <c r="D29" s="9">
        <f>10347.3+1217.17</f>
        <v>11564.47</v>
      </c>
      <c r="E29" s="9">
        <v>0</v>
      </c>
      <c r="F29" s="9">
        <v>0</v>
      </c>
      <c r="G29" s="9">
        <v>0</v>
      </c>
      <c r="H29" s="9">
        <f>6683.69+727.39</f>
        <v>7411.08</v>
      </c>
      <c r="I29" s="9">
        <f>4339.51+472.25</f>
        <v>4811.76</v>
      </c>
      <c r="J29" s="9">
        <v>0</v>
      </c>
      <c r="K29" s="9">
        <v>0</v>
      </c>
      <c r="L29" s="9">
        <f>66.79+7.27</f>
        <v>74.06</v>
      </c>
      <c r="M29" s="9">
        <f>1337.03+145.49</f>
        <v>1482.52</v>
      </c>
      <c r="N29" s="9">
        <f t="shared" si="20"/>
        <v>40598.639999999999</v>
      </c>
    </row>
    <row r="30" spans="1:15" ht="26.25" customHeight="1" thickBot="1" x14ac:dyDescent="0.3">
      <c r="A30" s="4" t="s">
        <v>21</v>
      </c>
      <c r="B30" s="9">
        <v>374.22</v>
      </c>
      <c r="C30" s="9">
        <v>374.22</v>
      </c>
      <c r="D30" s="9">
        <v>374.22</v>
      </c>
      <c r="E30" s="9">
        <v>374.22</v>
      </c>
      <c r="F30" s="9">
        <v>374.22</v>
      </c>
      <c r="G30" s="9">
        <v>374.22</v>
      </c>
      <c r="H30" s="9">
        <v>486.51</v>
      </c>
      <c r="I30" s="9">
        <v>486.51</v>
      </c>
      <c r="J30" s="9">
        <v>486.51</v>
      </c>
      <c r="K30" s="9">
        <v>486.51</v>
      </c>
      <c r="L30" s="9">
        <v>486.51</v>
      </c>
      <c r="M30" s="9">
        <v>486.51</v>
      </c>
      <c r="N30" s="9">
        <f t="shared" si="20"/>
        <v>5164.380000000001</v>
      </c>
    </row>
    <row r="31" spans="1:15" ht="26.25" customHeight="1" thickBot="1" x14ac:dyDescent="0.3">
      <c r="A31" s="4" t="s">
        <v>22</v>
      </c>
      <c r="B31" s="9">
        <v>1345.52</v>
      </c>
      <c r="C31" s="9">
        <v>4703.76</v>
      </c>
      <c r="D31" s="9">
        <v>3019.08</v>
      </c>
      <c r="E31" s="9">
        <v>0</v>
      </c>
      <c r="F31" s="9">
        <v>144.56</v>
      </c>
      <c r="G31" s="9">
        <v>4253.3999999999996</v>
      </c>
      <c r="H31" s="9">
        <v>8338.32</v>
      </c>
      <c r="I31" s="9">
        <v>0</v>
      </c>
      <c r="J31" s="9">
        <v>0</v>
      </c>
      <c r="K31" s="9">
        <v>9327.4</v>
      </c>
      <c r="L31" s="9">
        <v>0</v>
      </c>
      <c r="M31" s="9">
        <v>0</v>
      </c>
      <c r="N31" s="9">
        <f t="shared" si="20"/>
        <v>31132.04</v>
      </c>
    </row>
    <row r="32" spans="1:15" ht="26.25" customHeight="1" thickBot="1" x14ac:dyDescent="0.3">
      <c r="A32" s="4" t="s">
        <v>26</v>
      </c>
      <c r="B32" s="9">
        <f>251.71+0</f>
        <v>251.71</v>
      </c>
      <c r="C32" s="9">
        <f t="shared" ref="C32:G32" si="24">251.71+0</f>
        <v>251.71</v>
      </c>
      <c r="D32" s="9">
        <f t="shared" si="24"/>
        <v>251.71</v>
      </c>
      <c r="E32" s="9">
        <f t="shared" si="24"/>
        <v>251.71</v>
      </c>
      <c r="F32" s="9">
        <f t="shared" si="24"/>
        <v>251.71</v>
      </c>
      <c r="G32" s="9">
        <f t="shared" si="24"/>
        <v>251.71</v>
      </c>
      <c r="H32" s="9">
        <f>277.79+0</f>
        <v>277.79000000000002</v>
      </c>
      <c r="I32" s="9">
        <f t="shared" ref="I32:M32" si="25">277.79+0</f>
        <v>277.79000000000002</v>
      </c>
      <c r="J32" s="9">
        <f t="shared" si="25"/>
        <v>277.79000000000002</v>
      </c>
      <c r="K32" s="9">
        <f t="shared" si="25"/>
        <v>277.79000000000002</v>
      </c>
      <c r="L32" s="9">
        <f t="shared" si="25"/>
        <v>277.79000000000002</v>
      </c>
      <c r="M32" s="9">
        <f t="shared" si="25"/>
        <v>277.79000000000002</v>
      </c>
      <c r="N32" s="9">
        <f t="shared" si="20"/>
        <v>3177</v>
      </c>
    </row>
    <row r="33" spans="1:14" ht="22.5" customHeight="1" thickBot="1" x14ac:dyDescent="0.3">
      <c r="A33" s="4" t="s">
        <v>6</v>
      </c>
      <c r="B33" s="9">
        <f t="shared" ref="B33:F33" si="26">2536*3.35</f>
        <v>8495.6</v>
      </c>
      <c r="C33" s="9">
        <f t="shared" si="26"/>
        <v>8495.6</v>
      </c>
      <c r="D33" s="9">
        <f t="shared" si="26"/>
        <v>8495.6</v>
      </c>
      <c r="E33" s="9">
        <f t="shared" si="26"/>
        <v>8495.6</v>
      </c>
      <c r="F33" s="9">
        <f t="shared" si="26"/>
        <v>8495.6</v>
      </c>
      <c r="G33" s="9">
        <f>2536*4.13</f>
        <v>10473.68</v>
      </c>
      <c r="H33" s="9">
        <f t="shared" ref="H33:M33" si="27">2536*4.13</f>
        <v>10473.68</v>
      </c>
      <c r="I33" s="9">
        <f t="shared" si="27"/>
        <v>10473.68</v>
      </c>
      <c r="J33" s="9">
        <f t="shared" si="27"/>
        <v>10473.68</v>
      </c>
      <c r="K33" s="9">
        <f t="shared" si="27"/>
        <v>10473.68</v>
      </c>
      <c r="L33" s="9">
        <f t="shared" si="27"/>
        <v>10473.68</v>
      </c>
      <c r="M33" s="9">
        <f t="shared" si="27"/>
        <v>10473.68</v>
      </c>
      <c r="N33" s="9">
        <f t="shared" si="20"/>
        <v>115793.75999999998</v>
      </c>
    </row>
    <row r="34" spans="1:14" ht="21.75" customHeight="1" thickBot="1" x14ac:dyDescent="0.3">
      <c r="A34" s="21" t="s">
        <v>28</v>
      </c>
      <c r="B34" s="9">
        <v>4288.47</v>
      </c>
      <c r="C34" s="9">
        <v>4120.05</v>
      </c>
      <c r="D34" s="9">
        <v>3891.7</v>
      </c>
      <c r="E34" s="9">
        <v>5753.04</v>
      </c>
      <c r="F34" s="9">
        <v>4532.01</v>
      </c>
      <c r="G34" s="9">
        <v>4374.6400000000003</v>
      </c>
      <c r="H34" s="9">
        <v>4196.6400000000003</v>
      </c>
      <c r="I34" s="9">
        <v>4273.8</v>
      </c>
      <c r="J34" s="9">
        <v>5078.8</v>
      </c>
      <c r="K34" s="9">
        <v>4031.15</v>
      </c>
      <c r="L34" s="9">
        <v>4319.75</v>
      </c>
      <c r="M34" s="9">
        <v>4266.33</v>
      </c>
      <c r="N34" s="9">
        <f t="shared" si="20"/>
        <v>53126.380000000012</v>
      </c>
    </row>
    <row r="35" spans="1:14" ht="21.75" customHeight="1" thickBot="1" x14ac:dyDescent="0.3">
      <c r="A35" s="21" t="s">
        <v>29</v>
      </c>
      <c r="B35" s="9">
        <v>641</v>
      </c>
      <c r="C35" s="9">
        <v>615</v>
      </c>
      <c r="D35" s="9">
        <v>581</v>
      </c>
      <c r="E35" s="9">
        <v>860</v>
      </c>
      <c r="F35" s="9">
        <v>677</v>
      </c>
      <c r="G35" s="9">
        <v>654</v>
      </c>
      <c r="H35" s="9">
        <v>627</v>
      </c>
      <c r="I35" s="9">
        <v>638</v>
      </c>
      <c r="J35" s="9">
        <v>759</v>
      </c>
      <c r="K35" s="9">
        <v>602</v>
      </c>
      <c r="L35" s="9">
        <v>646</v>
      </c>
      <c r="M35" s="9">
        <v>637</v>
      </c>
      <c r="N35" s="9">
        <f t="shared" si="20"/>
        <v>7937</v>
      </c>
    </row>
    <row r="36" spans="1:14" ht="23.4" customHeight="1" thickBot="1" x14ac:dyDescent="0.3">
      <c r="A36" s="4" t="s">
        <v>25</v>
      </c>
      <c r="B36" s="9">
        <v>1000</v>
      </c>
      <c r="C36" s="9">
        <v>1000</v>
      </c>
      <c r="D36" s="9">
        <v>1000</v>
      </c>
      <c r="E36" s="9">
        <v>1000</v>
      </c>
      <c r="F36" s="9">
        <v>1000</v>
      </c>
      <c r="G36" s="9">
        <v>1000</v>
      </c>
      <c r="H36" s="9">
        <v>1000</v>
      </c>
      <c r="I36" s="9">
        <v>1000</v>
      </c>
      <c r="J36" s="9">
        <v>1000</v>
      </c>
      <c r="K36" s="9">
        <v>1000</v>
      </c>
      <c r="L36" s="9">
        <v>1000</v>
      </c>
      <c r="M36" s="9">
        <v>1000</v>
      </c>
      <c r="N36" s="9">
        <f t="shared" si="20"/>
        <v>12000</v>
      </c>
    </row>
    <row r="37" spans="1:14" ht="24.75" customHeight="1" thickBot="1" x14ac:dyDescent="0.3">
      <c r="A37" s="4" t="s">
        <v>14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16363.83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f t="shared" si="20"/>
        <v>16363.83</v>
      </c>
    </row>
    <row r="38" spans="1:14" ht="24" customHeight="1" thickBot="1" x14ac:dyDescent="0.3">
      <c r="A38" s="4" t="s">
        <v>10</v>
      </c>
      <c r="B38" s="9">
        <f>1000</f>
        <v>1000</v>
      </c>
      <c r="C38" s="9">
        <v>0</v>
      </c>
      <c r="D38" s="9">
        <f>525</f>
        <v>525</v>
      </c>
      <c r="E38" s="9">
        <f>4271.8+13700</f>
        <v>17971.8</v>
      </c>
      <c r="F38" s="9">
        <v>0</v>
      </c>
      <c r="G38" s="9">
        <v>0</v>
      </c>
      <c r="H38" s="9">
        <v>0</v>
      </c>
      <c r="I38" s="9">
        <f>5958+1183.8</f>
        <v>7141.8</v>
      </c>
      <c r="J38" s="9">
        <f>43850.1+15352.9</f>
        <v>59203</v>
      </c>
      <c r="K38" s="9">
        <f>98294.09+677.7+2598.8+52530.3+11441.9+3304.6</f>
        <v>168847.39</v>
      </c>
      <c r="L38" s="9">
        <f>3444.6</f>
        <v>3444.6</v>
      </c>
      <c r="M38" s="9">
        <f>7472.5</f>
        <v>7472.5</v>
      </c>
      <c r="N38" s="9">
        <f t="shared" si="20"/>
        <v>265606.09000000003</v>
      </c>
    </row>
    <row r="39" spans="1:14" ht="22.5" customHeight="1" thickBot="1" x14ac:dyDescent="0.3">
      <c r="A39" s="8" t="s">
        <v>23</v>
      </c>
      <c r="B39" s="14">
        <f t="shared" ref="B39:M39" si="28">SUM(B24:B38)</f>
        <v>63801.250639999991</v>
      </c>
      <c r="C39" s="14">
        <f t="shared" si="28"/>
        <v>60450.03330000001</v>
      </c>
      <c r="D39" s="14">
        <f t="shared" si="28"/>
        <v>65879.526979999995</v>
      </c>
      <c r="E39" s="14">
        <f t="shared" si="28"/>
        <v>71222.42452</v>
      </c>
      <c r="F39" s="14">
        <f t="shared" si="28"/>
        <v>51633.767399999997</v>
      </c>
      <c r="G39" s="14">
        <f t="shared" si="28"/>
        <v>57748.014620000002</v>
      </c>
      <c r="H39" s="14">
        <f t="shared" si="28"/>
        <v>85875.456800000014</v>
      </c>
      <c r="I39" s="14">
        <f t="shared" si="28"/>
        <v>66610.053920000006</v>
      </c>
      <c r="J39" s="14">
        <f t="shared" si="28"/>
        <v>114309.85228000001</v>
      </c>
      <c r="K39" s="14">
        <f t="shared" si="28"/>
        <v>231848.61804000003</v>
      </c>
      <c r="L39" s="14">
        <f t="shared" si="28"/>
        <v>57583.852859999999</v>
      </c>
      <c r="M39" s="14">
        <f t="shared" si="28"/>
        <v>63057.545460000001</v>
      </c>
      <c r="N39" s="14">
        <f>SUM(B39:M39)</f>
        <v>990020.39682000002</v>
      </c>
    </row>
    <row r="40" spans="1:14" ht="19.5" customHeight="1" thickBot="1" x14ac:dyDescent="0.3">
      <c r="A40" s="4" t="s">
        <v>5</v>
      </c>
      <c r="B40" s="18">
        <f t="shared" ref="B40:N40" si="29">B15-B39</f>
        <v>-1531.9106399999873</v>
      </c>
      <c r="C40" s="18">
        <f t="shared" si="29"/>
        <v>-2122.7933000000121</v>
      </c>
      <c r="D40" s="18">
        <f t="shared" si="29"/>
        <v>-5402.0169799999931</v>
      </c>
      <c r="E40" s="18">
        <f t="shared" si="29"/>
        <v>-2792.2445200000075</v>
      </c>
      <c r="F40" s="18">
        <f t="shared" si="29"/>
        <v>16402.472600000008</v>
      </c>
      <c r="G40" s="18">
        <f t="shared" si="29"/>
        <v>5701.2053799999994</v>
      </c>
      <c r="H40" s="18">
        <f t="shared" si="29"/>
        <v>-14910.68680000001</v>
      </c>
      <c r="I40" s="18">
        <f t="shared" si="29"/>
        <v>21239.116080000007</v>
      </c>
      <c r="J40" s="18">
        <f t="shared" si="29"/>
        <v>-31436.072280000022</v>
      </c>
      <c r="K40" s="18">
        <f t="shared" si="29"/>
        <v>-153817.13804000005</v>
      </c>
      <c r="L40" s="18">
        <f t="shared" si="29"/>
        <v>14089.42714</v>
      </c>
      <c r="M40" s="18">
        <f t="shared" si="29"/>
        <v>20893.65454000001</v>
      </c>
      <c r="N40" s="9">
        <f t="shared" si="29"/>
        <v>-133686.98681999987</v>
      </c>
    </row>
    <row r="41" spans="1:14" ht="19.5" customHeight="1" thickBot="1" x14ac:dyDescent="0.3">
      <c r="A41" s="4" t="s">
        <v>7</v>
      </c>
      <c r="B41" s="15">
        <f t="shared" ref="B41:N41" si="30">B5+B40</f>
        <v>-552567.93064000004</v>
      </c>
      <c r="C41" s="15">
        <f t="shared" si="30"/>
        <v>-554690.72394000005</v>
      </c>
      <c r="D41" s="15">
        <f t="shared" si="30"/>
        <v>-560092.74092000001</v>
      </c>
      <c r="E41" s="15">
        <f t="shared" si="30"/>
        <v>-562884.98543999996</v>
      </c>
      <c r="F41" s="15">
        <f t="shared" si="30"/>
        <v>-546482.51283999998</v>
      </c>
      <c r="G41" s="15">
        <f t="shared" si="30"/>
        <v>-540781.30746000004</v>
      </c>
      <c r="H41" s="15">
        <f t="shared" si="30"/>
        <v>-555691.99426000006</v>
      </c>
      <c r="I41" s="15">
        <f t="shared" si="30"/>
        <v>-534452.87818</v>
      </c>
      <c r="J41" s="15">
        <f t="shared" si="30"/>
        <v>-565888.95045999996</v>
      </c>
      <c r="K41" s="15">
        <f t="shared" si="30"/>
        <v>-719706.08850000007</v>
      </c>
      <c r="L41" s="15">
        <f t="shared" si="30"/>
        <v>-705616.66136000003</v>
      </c>
      <c r="M41" s="15">
        <f t="shared" si="30"/>
        <v>-684723.00682000001</v>
      </c>
      <c r="N41" s="15">
        <f t="shared" si="30"/>
        <v>-684723.00681999989</v>
      </c>
    </row>
    <row r="42" spans="1:14" ht="19.5" customHeight="1" thickBot="1" x14ac:dyDescent="0.3">
      <c r="A42" s="4" t="s">
        <v>43</v>
      </c>
      <c r="B42" s="9">
        <v>0</v>
      </c>
      <c r="C42" s="9">
        <v>0</v>
      </c>
      <c r="D42" s="9">
        <v>12447.44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f>SUM(B42:M42)</f>
        <v>12447.44</v>
      </c>
    </row>
    <row r="43" spans="1:14" ht="21" customHeight="1" thickBot="1" x14ac:dyDescent="0.3">
      <c r="A43" s="11" t="s">
        <v>11</v>
      </c>
      <c r="B43" s="19">
        <f>B6+B15-B7</f>
        <v>-126811.25</v>
      </c>
      <c r="C43" s="19">
        <f>C6+C15-C7</f>
        <v>-144578.85999999999</v>
      </c>
      <c r="D43" s="19">
        <f>D6+D15-D7+D42</f>
        <v>-145278.58999999997</v>
      </c>
      <c r="E43" s="19">
        <f t="shared" ref="E43:N43" si="31">E6+E15-E7+E42</f>
        <v>-155639.52999999997</v>
      </c>
      <c r="F43" s="19">
        <f t="shared" si="31"/>
        <v>-151810.98999999996</v>
      </c>
      <c r="G43" s="19">
        <f t="shared" si="31"/>
        <v>-165850.53999999995</v>
      </c>
      <c r="H43" s="19">
        <f t="shared" si="31"/>
        <v>-176558.21999999994</v>
      </c>
      <c r="I43" s="19">
        <f t="shared" si="31"/>
        <v>-181903.61999999994</v>
      </c>
      <c r="J43" s="19">
        <f t="shared" si="31"/>
        <v>-181286.71999999997</v>
      </c>
      <c r="K43" s="19">
        <f t="shared" si="31"/>
        <v>-180500.38</v>
      </c>
      <c r="L43" s="19">
        <f t="shared" si="31"/>
        <v>-195668.81</v>
      </c>
      <c r="M43" s="19">
        <f t="shared" si="31"/>
        <v>-189036.82</v>
      </c>
      <c r="N43" s="19">
        <f t="shared" si="31"/>
        <v>-189036.81999999989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2026-02-13T04:41:23Z</cp:lastPrinted>
  <dcterms:created xsi:type="dcterms:W3CDTF">2011-06-06T03:25:48Z</dcterms:created>
  <dcterms:modified xsi:type="dcterms:W3CDTF">2026-02-13T05:13:47Z</dcterms:modified>
</cp:coreProperties>
</file>