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34" i="1"/>
  <c r="N22" i="1"/>
  <c r="N35" i="1"/>
  <c r="C35" i="1"/>
  <c r="D35" i="1"/>
  <c r="E35" i="1"/>
  <c r="F35" i="1"/>
  <c r="G35" i="1"/>
  <c r="H35" i="1"/>
  <c r="I35" i="1"/>
  <c r="J35" i="1"/>
  <c r="K35" i="1"/>
  <c r="L35" i="1"/>
  <c r="M35" i="1"/>
  <c r="B35" i="1"/>
  <c r="H7" i="1" l="1"/>
  <c r="I7" i="1"/>
  <c r="J7" i="1"/>
  <c r="K7" i="1"/>
  <c r="L7" i="1"/>
  <c r="M7" i="1"/>
  <c r="C7" i="1"/>
  <c r="D7" i="1"/>
  <c r="E7" i="1"/>
  <c r="F7" i="1"/>
  <c r="G7" i="1"/>
  <c r="K34" i="1" l="1"/>
  <c r="K30" i="1" l="1"/>
  <c r="L30" i="1"/>
  <c r="M30" i="1"/>
  <c r="K27" i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K22" i="1"/>
  <c r="L22" i="1"/>
  <c r="M22" i="1"/>
  <c r="I30" i="1" l="1"/>
  <c r="J30" i="1"/>
  <c r="H30" i="1"/>
  <c r="J34" i="1" l="1"/>
  <c r="I34" i="1" l="1"/>
  <c r="J25" i="1" l="1"/>
  <c r="J15" i="1"/>
  <c r="J24" i="1"/>
  <c r="J8" i="1"/>
  <c r="I25" i="1" l="1"/>
  <c r="I15" i="1"/>
  <c r="I24" i="1"/>
  <c r="I8" i="1"/>
  <c r="H25" i="1" l="1"/>
  <c r="H15" i="1"/>
  <c r="H24" i="1"/>
  <c r="H8" i="1"/>
  <c r="H26" i="1"/>
  <c r="I26" i="1"/>
  <c r="J26" i="1"/>
  <c r="H23" i="1"/>
  <c r="I23" i="1"/>
  <c r="J23" i="1"/>
  <c r="H22" i="1"/>
  <c r="I22" i="1"/>
  <c r="J22" i="1"/>
  <c r="J31" i="1" l="1"/>
  <c r="I31" i="1"/>
  <c r="H31" i="1"/>
  <c r="E30" i="1" l="1"/>
  <c r="F30" i="1"/>
  <c r="G30" i="1"/>
  <c r="F27" i="1"/>
  <c r="E27" i="1"/>
  <c r="F34" i="1" l="1"/>
  <c r="E34" i="1" l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1" i="1" l="1"/>
  <c r="F31" i="1"/>
  <c r="G31" i="1"/>
  <c r="E26" i="1"/>
  <c r="F26" i="1"/>
  <c r="G26" i="1"/>
  <c r="E23" i="1"/>
  <c r="F23" i="1"/>
  <c r="G23" i="1"/>
  <c r="E22" i="1"/>
  <c r="F22" i="1"/>
  <c r="G22" i="1"/>
  <c r="C30" i="1" l="1"/>
  <c r="D30" i="1"/>
  <c r="B30" i="1"/>
  <c r="D27" i="1"/>
  <c r="C27" i="1"/>
  <c r="B27" i="1"/>
  <c r="D34" i="1" l="1"/>
  <c r="B34" i="1" l="1"/>
  <c r="D24" i="1" l="1"/>
  <c r="C26" i="1" l="1"/>
  <c r="D26" i="1"/>
  <c r="B26" i="1"/>
  <c r="C24" i="1"/>
  <c r="D23" i="1"/>
  <c r="C23" i="1"/>
  <c r="D25" i="1" l="1"/>
  <c r="D15" i="1"/>
  <c r="D8" i="1"/>
  <c r="C25" i="1" l="1"/>
  <c r="C15" i="1"/>
  <c r="C8" i="1"/>
  <c r="B25" i="1" l="1"/>
  <c r="B15" i="1"/>
  <c r="B24" i="1"/>
  <c r="B8" i="1"/>
  <c r="C31" i="1" l="1"/>
  <c r="D31" i="1"/>
  <c r="C22" i="1"/>
  <c r="D22" i="1"/>
  <c r="B31" i="1"/>
  <c r="B23" i="1"/>
  <c r="B22" i="1"/>
  <c r="N20" i="1" l="1"/>
  <c r="N13" i="1"/>
  <c r="D14" i="1" l="1"/>
  <c r="C14" i="1" l="1"/>
  <c r="B14" i="1"/>
  <c r="B7" i="1"/>
  <c r="D36" i="1" l="1"/>
  <c r="N11" i="1" l="1"/>
  <c r="N16" i="1" l="1"/>
  <c r="N18" i="1"/>
  <c r="N17" i="1"/>
  <c r="N19" i="1"/>
  <c r="N9" i="1" l="1"/>
  <c r="N10" i="1"/>
  <c r="N12" i="1" l="1"/>
  <c r="H14" i="1" l="1"/>
  <c r="I14" i="1"/>
  <c r="J14" i="1"/>
  <c r="K14" i="1"/>
  <c r="L14" i="1"/>
  <c r="M14" i="1"/>
  <c r="E14" i="1"/>
  <c r="F14" i="1"/>
  <c r="G14" i="1"/>
  <c r="N14" i="1" l="1"/>
  <c r="N7" i="1"/>
  <c r="M36" i="1"/>
  <c r="I36" i="1"/>
  <c r="G36" i="1"/>
  <c r="F36" i="1"/>
  <c r="E36" i="1"/>
  <c r="H36" i="1"/>
  <c r="L36" i="1" l="1"/>
  <c r="K36" i="1"/>
  <c r="J36" i="1"/>
  <c r="N15" i="1"/>
  <c r="N8" i="1" l="1"/>
  <c r="N6" i="1"/>
  <c r="N5" i="1"/>
  <c r="N38" i="1" l="1"/>
  <c r="C36" i="1"/>
  <c r="B38" i="1"/>
  <c r="C6" i="1" s="1"/>
  <c r="C38" i="1" l="1"/>
  <c r="D6" i="1" s="1"/>
  <c r="D38" i="1" l="1"/>
  <c r="E6" i="1" s="1"/>
  <c r="E38" i="1" s="1"/>
  <c r="F6" i="1" s="1"/>
  <c r="F38" i="1" s="1"/>
  <c r="G6" i="1" s="1"/>
  <c r="G38" i="1" s="1"/>
  <c r="H6" i="1" s="1"/>
  <c r="H38" i="1" s="1"/>
  <c r="I6" i="1" s="1"/>
  <c r="I38" i="1" s="1"/>
  <c r="J6" i="1" s="1"/>
  <c r="J38" i="1" s="1"/>
  <c r="K6" i="1" s="1"/>
  <c r="K38" i="1" s="1"/>
  <c r="L6" i="1" s="1"/>
  <c r="L38" i="1" s="1"/>
  <c r="M6" i="1" s="1"/>
  <c r="M38" i="1" s="1"/>
  <c r="B36" i="1"/>
  <c r="B37" i="1" s="1"/>
  <c r="C5" i="1" l="1"/>
  <c r="C37" i="1" s="1"/>
  <c r="D5" i="1" s="1"/>
  <c r="D37" i="1" s="1"/>
  <c r="N36" i="1" l="1"/>
  <c r="N37" i="1" s="1"/>
  <c r="E5" i="1" l="1"/>
  <c r="E37" i="1" s="1"/>
  <c r="F5" i="1" s="1"/>
  <c r="F37" i="1" l="1"/>
  <c r="G5" i="1" s="1"/>
  <c r="G37" i="1" s="1"/>
  <c r="H5" i="1" s="1"/>
  <c r="H37" i="1" s="1"/>
  <c r="I5" i="1" s="1"/>
  <c r="I37" i="1" s="1"/>
  <c r="J5" i="1" s="1"/>
  <c r="J37" i="1" l="1"/>
  <c r="K5" i="1" s="1"/>
  <c r="K37" i="1" l="1"/>
  <c r="L5" i="1" s="1"/>
  <c r="L37" i="1" l="1"/>
  <c r="M5" i="1" s="1"/>
  <c r="M37" i="1" s="1"/>
</calcChain>
</file>

<file path=xl/sharedStrings.xml><?xml version="1.0" encoding="utf-8"?>
<sst xmlns="http://schemas.openxmlformats.org/spreadsheetml/2006/main" count="49" uniqueCount="42">
  <si>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</si>
  <si>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</si>
  <si>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</si>
  <si>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</si>
  <si>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</si>
  <si>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</si>
  <si>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</si>
  <si>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</si>
  <si>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</si>
  <si>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</si>
  <si>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</si>
  <si>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</si>
  <si>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</si>
  <si>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</si>
  <si>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</si>
  <si>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</si>
  <si>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</si>
  <si>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</si>
  <si>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</si>
  <si>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</si>
  <si>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</si>
  <si>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</si>
  <si>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</si>
  <si>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</si>
  <si>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газового оборудования</t>
  </si>
  <si>
    <t>Тех.обслуживание узла учета тепловой энергии</t>
  </si>
  <si>
    <t>Дополнительный доход (использование общего имущества)</t>
  </si>
  <si>
    <t>Содержание жилья и текущий ремонт, ОПУ</t>
  </si>
  <si>
    <t>Январь 2025г.</t>
  </si>
  <si>
    <t>Февраль  2025г.</t>
  </si>
  <si>
    <t>Март 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</si>
  <si>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</si>
  <si>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</si>
  <si>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</si>
  <si>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</si>
  <si>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</si>
  <si>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</si>
  <si>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</si>
  <si>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 xml:space="preserve">Ноябрь 2025г </t>
  </si>
  <si>
    <t>Декабрь 2025г</t>
  </si>
  <si>
    <t>Всего:                       за  2025г.</t>
  </si>
  <si>
    <t xml:space="preserve">                 ОТЧЕТ по дому Горно-Алтайская, 58 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</si>
</sst>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C20" zoomScale="75" workbookViewId="0">
      <selection activeCell="M35" sqref="M35"/>
    </sheetView>
  </sheetViews>
  <sheetFormatPr defaultRowHeight="13.2" x14ac:dyDescent="0.25"/>
  <cols>
    <col min="1" max="1" width="57" customWidth="1"/>
    <col min="2" max="2" width="13.6640625" customWidth="1"/>
    <col min="3" max="3" width="13.5546875" customWidth="1"/>
    <col min="4" max="4" width="15.5546875" customWidth="1"/>
    <col min="5" max="6" width="14.33203125" customWidth="1"/>
    <col min="7" max="7" width="15.88671875" customWidth="1"/>
    <col min="8" max="8" width="14.21875" customWidth="1"/>
    <col min="9" max="9" width="14.33203125" customWidth="1"/>
    <col min="10" max="10" width="14.21875" customWidth="1"/>
    <col min="11" max="13" width="14" customWidth="1"/>
    <col min="14" max="14" width="15.88671875" customWidth="1"/>
  </cols>
  <sheetData>
    <row r="1" spans="1:18" ht="20.25" customHeight="1" x14ac:dyDescent="0.35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14</v>
      </c>
      <c r="B5" s="8">
        <v>-477312.35</v>
      </c>
      <c r="C5" s="8">
        <f>B37</f>
        <v>-482181.54057999997</v>
      </c>
      <c r="D5" s="8">
        <f>C37</f>
        <v>-483542.85371999996</v>
      </c>
      <c r="E5" s="8">
        <f t="shared" ref="E5:G5" si="0">D37</f>
        <v>-494980.02521999995</v>
      </c>
      <c r="F5" s="8">
        <f t="shared" si="0"/>
        <v>-498114.69909999997</v>
      </c>
      <c r="G5" s="8">
        <f t="shared" si="0"/>
        <v>-481848.04421999998</v>
      </c>
      <c r="H5" s="8">
        <f t="shared" ref="H5" si="1">G37</f>
        <v>-480698.33937999996</v>
      </c>
      <c r="I5" s="8">
        <f t="shared" ref="I5" si="2">H37</f>
        <v>-491531.65975999995</v>
      </c>
      <c r="J5" s="8">
        <f t="shared" ref="J5" si="3">I37</f>
        <v>-509479.94953999994</v>
      </c>
      <c r="K5" s="8">
        <f t="shared" ref="K5" si="4">J37</f>
        <v>-496149.98279999994</v>
      </c>
      <c r="L5" s="8">
        <f t="shared" ref="L5" si="5">K37</f>
        <v>-493920.00587999995</v>
      </c>
      <c r="M5" s="8">
        <f t="shared" ref="M5" si="6">L37</f>
        <v>-490933.57093999995</v>
      </c>
      <c r="N5" s="8">
        <f>B5</f>
        <v>-477312.35</v>
      </c>
    </row>
    <row r="6" spans="1:18" ht="21" customHeight="1" thickBot="1" x14ac:dyDescent="0.3">
      <c r="A6" s="7" t="s">
        <v>13</v>
      </c>
      <c r="B6" s="8">
        <v>-97749.11</v>
      </c>
      <c r="C6" s="8">
        <f>B38</f>
        <v>-106782.76999999999</v>
      </c>
      <c r="D6" s="8">
        <f>C38</f>
        <v>-113598.29999999999</v>
      </c>
      <c r="E6" s="8">
        <f t="shared" ref="E6:G6" si="7">D38</f>
        <v>-113976.48999999999</v>
      </c>
      <c r="F6" s="8">
        <f t="shared" si="7"/>
        <v>-116763.38999999998</v>
      </c>
      <c r="G6" s="8">
        <f t="shared" si="7"/>
        <v>-79487.87</v>
      </c>
      <c r="H6" s="8">
        <f t="shared" ref="H6:M6" si="8">G38</f>
        <v>-83786.009999999995</v>
      </c>
      <c r="I6" s="8">
        <f t="shared" si="8"/>
        <v>-90499.12</v>
      </c>
      <c r="J6" s="8">
        <f t="shared" si="8"/>
        <v>-108109.41</v>
      </c>
      <c r="K6" s="8">
        <f t="shared" si="8"/>
        <v>-100911.84</v>
      </c>
      <c r="L6" s="8">
        <f t="shared" si="8"/>
        <v>-107732.01999999999</v>
      </c>
      <c r="M6" s="8">
        <f t="shared" si="8"/>
        <v>-117646.26999999999</v>
      </c>
      <c r="N6" s="8">
        <f>B6</f>
        <v>-97749.11</v>
      </c>
    </row>
    <row r="7" spans="1:18" ht="20.25" customHeight="1" thickBot="1" x14ac:dyDescent="0.3">
      <c r="A7" s="9" t="s">
        <v>12</v>
      </c>
      <c r="B7" s="10">
        <f>SUM(B8:B13)</f>
        <v>27896.46</v>
      </c>
      <c r="C7" s="10">
        <f t="shared" ref="C7:G7" si="9">SUM(C8:C13)</f>
        <v>28254.09</v>
      </c>
      <c r="D7" s="10">
        <f t="shared" si="9"/>
        <v>25951.199999999997</v>
      </c>
      <c r="E7" s="10">
        <f t="shared" si="9"/>
        <v>28018.23</v>
      </c>
      <c r="F7" s="10">
        <f t="shared" si="9"/>
        <v>27965.17</v>
      </c>
      <c r="G7" s="10">
        <f t="shared" si="9"/>
        <v>28254.809999999998</v>
      </c>
      <c r="H7" s="10">
        <f t="shared" ref="H7" si="10">SUM(H8:H13)</f>
        <v>27920.78</v>
      </c>
      <c r="I7" s="10">
        <f t="shared" ref="I7" si="11">SUM(I8:I13)</f>
        <v>37556.579999999994</v>
      </c>
      <c r="J7" s="10">
        <f t="shared" ref="J7" si="12">SUM(J8:J13)</f>
        <v>38983.859999999993</v>
      </c>
      <c r="K7" s="10">
        <f t="shared" ref="K7" si="13">SUM(K8:K13)</f>
        <v>37356.579999999994</v>
      </c>
      <c r="L7" s="10">
        <f t="shared" ref="L7" si="14">SUM(L8:L13)</f>
        <v>37564.509999999995</v>
      </c>
      <c r="M7" s="10">
        <f t="shared" ref="M7" si="15">SUM(M8:M13)</f>
        <v>37356.579999999994</v>
      </c>
      <c r="N7" s="10">
        <f>SUM(B7:M7)</f>
        <v>383078.85000000003</v>
      </c>
    </row>
    <row r="8" spans="1:18" ht="24.75" customHeight="1" thickBot="1" x14ac:dyDescent="0.3">
      <c r="A8" s="3" t="s">
        <v>27</v>
      </c>
      <c r="B8" s="11">
        <f>26581.92+947.61</f>
        <v>27529.53</v>
      </c>
      <c r="C8" s="11">
        <f>947.61+26581.92</f>
        <v>27529.53</v>
      </c>
      <c r="D8" s="11">
        <f>26581.92+947.61</f>
        <v>27529.53</v>
      </c>
      <c r="E8" s="11">
        <f>26581.92+947.61</f>
        <v>27529.53</v>
      </c>
      <c r="F8" s="11">
        <f>26581.92+947.61</f>
        <v>27529.53</v>
      </c>
      <c r="G8" s="11">
        <f>947.61+26581.92</f>
        <v>27529.53</v>
      </c>
      <c r="H8" s="11">
        <f>26581.92+947.61</f>
        <v>27529.53</v>
      </c>
      <c r="I8" s="11">
        <f>947.61+36209.06</f>
        <v>37156.67</v>
      </c>
      <c r="J8" s="11">
        <f>36209.06+947.61</f>
        <v>37156.67</v>
      </c>
      <c r="K8" s="11">
        <f>36209.06+947.61</f>
        <v>37156.67</v>
      </c>
      <c r="L8" s="11">
        <f>36209.06+947.61</f>
        <v>37156.67</v>
      </c>
      <c r="M8" s="11">
        <f>947.61+36209.06</f>
        <v>37156.67</v>
      </c>
      <c r="N8" s="11">
        <f>SUM(B8:M8)</f>
        <v>378490.05999999994</v>
      </c>
    </row>
    <row r="9" spans="1:18" ht="24.75" customHeight="1" thickBot="1" x14ac:dyDescent="0.3">
      <c r="A9" s="3" t="s">
        <v>15</v>
      </c>
      <c r="B9" s="11">
        <v>0.54</v>
      </c>
      <c r="C9" s="11">
        <v>13.45</v>
      </c>
      <c r="D9" s="11">
        <v>-1944.72</v>
      </c>
      <c r="E9" s="11">
        <v>0</v>
      </c>
      <c r="F9" s="11">
        <v>69.25</v>
      </c>
      <c r="G9" s="11">
        <v>358.89</v>
      </c>
      <c r="H9" s="11">
        <v>0</v>
      </c>
      <c r="I9" s="11">
        <v>0</v>
      </c>
      <c r="J9" s="11">
        <v>0</v>
      </c>
      <c r="K9" s="11">
        <v>0</v>
      </c>
      <c r="L9" s="11">
        <v>207.93</v>
      </c>
      <c r="M9" s="11">
        <v>0</v>
      </c>
      <c r="N9" s="11">
        <f t="shared" ref="N9:N13" si="16">SUM(B9:M9)</f>
        <v>-1294.6600000000001</v>
      </c>
    </row>
    <row r="10" spans="1:18" ht="21.75" customHeight="1" thickBot="1" x14ac:dyDescent="0.3">
      <c r="A10" s="3" t="s">
        <v>16</v>
      </c>
      <c r="B10" s="11">
        <v>82.92</v>
      </c>
      <c r="C10" s="11">
        <v>82.92</v>
      </c>
      <c r="D10" s="11">
        <v>82.92</v>
      </c>
      <c r="E10" s="11">
        <v>82.92</v>
      </c>
      <c r="F10" s="11">
        <v>82.92</v>
      </c>
      <c r="G10" s="11">
        <v>82.92</v>
      </c>
      <c r="H10" s="11">
        <v>107.78</v>
      </c>
      <c r="I10" s="11">
        <v>107.78</v>
      </c>
      <c r="J10" s="11">
        <v>107.78</v>
      </c>
      <c r="K10" s="11">
        <v>107.78</v>
      </c>
      <c r="L10" s="11">
        <v>107.78</v>
      </c>
      <c r="M10" s="11">
        <v>107.78</v>
      </c>
      <c r="N10" s="11">
        <f t="shared" si="16"/>
        <v>1144.2</v>
      </c>
    </row>
    <row r="11" spans="1:18" ht="22.5" customHeight="1" thickBot="1" x14ac:dyDescent="0.3">
      <c r="A11" s="3" t="s">
        <v>17</v>
      </c>
      <c r="B11" s="11">
        <v>0</v>
      </c>
      <c r="C11" s="11">
        <v>344.72</v>
      </c>
      <c r="D11" s="11">
        <v>0</v>
      </c>
      <c r="E11" s="11">
        <v>122.31</v>
      </c>
      <c r="F11" s="11">
        <v>0</v>
      </c>
      <c r="G11" s="11">
        <v>0</v>
      </c>
      <c r="H11" s="11">
        <v>0</v>
      </c>
      <c r="I11" s="11">
        <v>0</v>
      </c>
      <c r="J11" s="11">
        <v>1427.28</v>
      </c>
      <c r="K11" s="11">
        <v>0</v>
      </c>
      <c r="L11" s="11">
        <v>0</v>
      </c>
      <c r="M11" s="11">
        <v>0</v>
      </c>
      <c r="N11" s="11">
        <f t="shared" si="16"/>
        <v>1894.31</v>
      </c>
    </row>
    <row r="12" spans="1:18" ht="22.5" customHeight="1" thickBot="1" x14ac:dyDescent="0.3">
      <c r="A12" s="3" t="s">
        <v>23</v>
      </c>
      <c r="B12" s="11">
        <v>83.47</v>
      </c>
      <c r="C12" s="11">
        <v>83.47</v>
      </c>
      <c r="D12" s="11">
        <v>83.47</v>
      </c>
      <c r="E12" s="11">
        <v>83.47</v>
      </c>
      <c r="F12" s="11">
        <v>83.47</v>
      </c>
      <c r="G12" s="11">
        <v>83.47</v>
      </c>
      <c r="H12" s="11">
        <v>83.47</v>
      </c>
      <c r="I12" s="11">
        <v>92.13</v>
      </c>
      <c r="J12" s="11">
        <v>92.13</v>
      </c>
      <c r="K12" s="11">
        <v>92.13</v>
      </c>
      <c r="L12" s="11">
        <v>92.13</v>
      </c>
      <c r="M12" s="11">
        <v>92.13</v>
      </c>
      <c r="N12" s="11">
        <f t="shared" si="16"/>
        <v>1044.94</v>
      </c>
    </row>
    <row r="13" spans="1:18" ht="22.5" customHeight="1" thickBot="1" x14ac:dyDescent="0.3">
      <c r="A13" s="3" t="s">
        <v>26</v>
      </c>
      <c r="B13" s="11">
        <v>200</v>
      </c>
      <c r="C13" s="11">
        <v>200</v>
      </c>
      <c r="D13" s="11">
        <v>200</v>
      </c>
      <c r="E13" s="11">
        <v>200</v>
      </c>
      <c r="F13" s="11">
        <v>200</v>
      </c>
      <c r="G13" s="11">
        <v>200</v>
      </c>
      <c r="H13" s="11">
        <v>200</v>
      </c>
      <c r="I13" s="11">
        <v>200</v>
      </c>
      <c r="J13" s="11">
        <v>200</v>
      </c>
      <c r="K13" s="11">
        <v>0</v>
      </c>
      <c r="L13" s="11">
        <v>0</v>
      </c>
      <c r="M13" s="11">
        <v>0</v>
      </c>
      <c r="N13" s="11">
        <f t="shared" si="16"/>
        <v>1800</v>
      </c>
    </row>
    <row r="14" spans="1:18" ht="20.25" customHeight="1" thickBot="1" x14ac:dyDescent="0.3">
      <c r="A14" s="12" t="s">
        <v>8</v>
      </c>
      <c r="B14" s="13">
        <f>SUM(B15:B20)</f>
        <v>18862.8</v>
      </c>
      <c r="C14" s="13">
        <f t="shared" ref="C14:D14" si="17">SUM(C15:C20)</f>
        <v>21438.559999999998</v>
      </c>
      <c r="D14" s="13">
        <f t="shared" si="17"/>
        <v>25573.01</v>
      </c>
      <c r="E14" s="13">
        <f t="shared" ref="E14:M14" si="18">SUM(E15:E19)</f>
        <v>25231.33</v>
      </c>
      <c r="F14" s="13">
        <f t="shared" si="18"/>
        <v>65240.689999999995</v>
      </c>
      <c r="G14" s="13">
        <f t="shared" si="18"/>
        <v>23956.67</v>
      </c>
      <c r="H14" s="13">
        <f t="shared" si="18"/>
        <v>21207.67</v>
      </c>
      <c r="I14" s="13">
        <f t="shared" si="18"/>
        <v>19946.289999999997</v>
      </c>
      <c r="J14" s="13">
        <f t="shared" si="18"/>
        <v>46181.43</v>
      </c>
      <c r="K14" s="13">
        <f t="shared" si="18"/>
        <v>30536.399999999998</v>
      </c>
      <c r="L14" s="13">
        <f t="shared" si="18"/>
        <v>27650.26</v>
      </c>
      <c r="M14" s="13">
        <f t="shared" si="18"/>
        <v>42018.18</v>
      </c>
      <c r="N14" s="13">
        <f>SUM(B14:M14)</f>
        <v>367843.29000000004</v>
      </c>
    </row>
    <row r="15" spans="1:18" ht="24" customHeight="1" thickBot="1" x14ac:dyDescent="0.3">
      <c r="A15" s="3" t="s">
        <v>27</v>
      </c>
      <c r="B15" s="11">
        <f>18078.46+727.94</f>
        <v>18806.399999999998</v>
      </c>
      <c r="C15" s="11">
        <f>685.25+20692.21</f>
        <v>21377.46</v>
      </c>
      <c r="D15" s="11">
        <f>24356.52+888.03</f>
        <v>25244.55</v>
      </c>
      <c r="E15" s="11">
        <f>24323.24+803.06</f>
        <v>25126.300000000003</v>
      </c>
      <c r="F15" s="11">
        <f>62523.31+2241.35</f>
        <v>64764.659999999996</v>
      </c>
      <c r="G15" s="11">
        <f>821.6+23047.58</f>
        <v>23869.18</v>
      </c>
      <c r="H15" s="11">
        <f>20413.3+727.78</f>
        <v>21141.079999999998</v>
      </c>
      <c r="I15" s="11">
        <f>682.28+19139.09</f>
        <v>19821.37</v>
      </c>
      <c r="J15" s="11">
        <f>44638.08+1282.08</f>
        <v>45920.160000000003</v>
      </c>
      <c r="K15" s="11">
        <f>28569.03+752.19</f>
        <v>29321.219999999998</v>
      </c>
      <c r="L15" s="11">
        <f>26784.95+703.64</f>
        <v>27488.59</v>
      </c>
      <c r="M15" s="11">
        <f>1062.8+40544.35</f>
        <v>41607.15</v>
      </c>
      <c r="N15" s="11">
        <f>SUM(B15:M15)</f>
        <v>364488.12</v>
      </c>
    </row>
    <row r="16" spans="1:18" ht="26.25" customHeight="1" thickBot="1" x14ac:dyDescent="0.3">
      <c r="A16" s="3" t="s">
        <v>15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 t="shared" ref="N16:N20" si="19">SUM(B16:M16)</f>
        <v>0</v>
      </c>
    </row>
    <row r="17" spans="1:14" ht="26.25" customHeight="1" thickBot="1" x14ac:dyDescent="0.3">
      <c r="A17" s="3" t="s">
        <v>16</v>
      </c>
      <c r="B17" s="11">
        <v>56.4</v>
      </c>
      <c r="C17" s="11">
        <v>61.1</v>
      </c>
      <c r="D17" s="11">
        <v>77.540000000000006</v>
      </c>
      <c r="E17" s="11">
        <v>76.44</v>
      </c>
      <c r="F17" s="11">
        <v>195.1</v>
      </c>
      <c r="G17" s="11">
        <v>71.89</v>
      </c>
      <c r="H17" s="11">
        <v>63.68</v>
      </c>
      <c r="I17" s="11">
        <v>76.94</v>
      </c>
      <c r="J17" s="11">
        <v>140.56</v>
      </c>
      <c r="K17" s="11">
        <v>85.29</v>
      </c>
      <c r="L17" s="11">
        <v>79.87</v>
      </c>
      <c r="M17" s="11">
        <v>120.77</v>
      </c>
      <c r="N17" s="11">
        <f t="shared" si="19"/>
        <v>1105.58</v>
      </c>
    </row>
    <row r="18" spans="1:14" ht="24" customHeight="1" thickBot="1" x14ac:dyDescent="0.3">
      <c r="A18" s="3" t="s">
        <v>17</v>
      </c>
      <c r="B18" s="11">
        <v>0</v>
      </c>
      <c r="C18" s="11">
        <v>0</v>
      </c>
      <c r="D18" s="11">
        <v>244.78</v>
      </c>
      <c r="E18" s="11">
        <v>28.59</v>
      </c>
      <c r="F18" s="11">
        <v>210.16</v>
      </c>
      <c r="G18" s="11">
        <v>0</v>
      </c>
      <c r="H18" s="11">
        <v>0</v>
      </c>
      <c r="I18" s="11">
        <v>0</v>
      </c>
      <c r="J18" s="11">
        <v>0</v>
      </c>
      <c r="K18" s="11">
        <v>1056.8699999999999</v>
      </c>
      <c r="L18" s="11">
        <v>13.46</v>
      </c>
      <c r="M18" s="11">
        <v>187</v>
      </c>
      <c r="N18" s="11">
        <f t="shared" si="19"/>
        <v>1740.86</v>
      </c>
    </row>
    <row r="19" spans="1:14" ht="24" customHeight="1" thickBot="1" x14ac:dyDescent="0.3">
      <c r="A19" s="3" t="s">
        <v>23</v>
      </c>
      <c r="B19" s="14">
        <v>0</v>
      </c>
      <c r="C19" s="14">
        <v>0</v>
      </c>
      <c r="D19" s="14">
        <v>6.14</v>
      </c>
      <c r="E19" s="14">
        <v>0</v>
      </c>
      <c r="F19" s="14">
        <v>70.77</v>
      </c>
      <c r="G19" s="14">
        <v>15.6</v>
      </c>
      <c r="H19" s="14">
        <v>2.91</v>
      </c>
      <c r="I19" s="14">
        <v>47.98</v>
      </c>
      <c r="J19" s="14">
        <v>120.71</v>
      </c>
      <c r="K19" s="14">
        <v>73.02</v>
      </c>
      <c r="L19" s="14">
        <v>68.34</v>
      </c>
      <c r="M19" s="14">
        <v>103.26</v>
      </c>
      <c r="N19" s="14">
        <f t="shared" si="19"/>
        <v>508.7299999999999</v>
      </c>
    </row>
    <row r="20" spans="1:14" ht="24" customHeight="1" thickBot="1" x14ac:dyDescent="0.3">
      <c r="A20" s="4" t="s">
        <v>26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1400</v>
      </c>
      <c r="K20" s="15">
        <v>0</v>
      </c>
      <c r="L20" s="15">
        <v>0</v>
      </c>
      <c r="M20" s="16">
        <v>0</v>
      </c>
      <c r="N20" s="15">
        <f t="shared" si="19"/>
        <v>1400</v>
      </c>
    </row>
    <row r="21" spans="1:14" ht="21.75" customHeight="1" thickBot="1" x14ac:dyDescent="0.3">
      <c r="A21" s="17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</row>
    <row r="22" spans="1:14" ht="19.5" customHeight="1" thickBot="1" x14ac:dyDescent="0.3">
      <c r="A22" s="3" t="s">
        <v>1</v>
      </c>
      <c r="B22" s="11">
        <f t="shared" ref="B22:M22" si="20">1263.4*0.6</f>
        <v>758.04000000000008</v>
      </c>
      <c r="C22" s="11">
        <f t="shared" si="20"/>
        <v>758.04000000000008</v>
      </c>
      <c r="D22" s="11">
        <f t="shared" si="20"/>
        <v>758.04000000000008</v>
      </c>
      <c r="E22" s="11">
        <f t="shared" si="20"/>
        <v>758.04000000000008</v>
      </c>
      <c r="F22" s="11">
        <f t="shared" si="20"/>
        <v>758.04000000000008</v>
      </c>
      <c r="G22" s="11">
        <f t="shared" si="20"/>
        <v>758.04000000000008</v>
      </c>
      <c r="H22" s="11">
        <f t="shared" si="20"/>
        <v>758.04000000000008</v>
      </c>
      <c r="I22" s="11">
        <f t="shared" si="20"/>
        <v>758.04000000000008</v>
      </c>
      <c r="J22" s="11">
        <f t="shared" si="20"/>
        <v>758.04000000000008</v>
      </c>
      <c r="K22" s="11">
        <f t="shared" si="20"/>
        <v>758.04000000000008</v>
      </c>
      <c r="L22" s="11">
        <f t="shared" si="20"/>
        <v>758.04000000000008</v>
      </c>
      <c r="M22" s="11">
        <f t="shared" si="20"/>
        <v>758.04000000000008</v>
      </c>
      <c r="N22" s="11">
        <f>SUM(B22:M22)</f>
        <v>9096.4800000000014</v>
      </c>
    </row>
    <row r="23" spans="1:14" ht="22.5" customHeight="1" thickBot="1" x14ac:dyDescent="0.3">
      <c r="A23" s="3" t="s">
        <v>2</v>
      </c>
      <c r="B23" s="11">
        <f t="shared" ref="B23" si="21">1263.4*0.17</f>
        <v>214.77800000000002</v>
      </c>
      <c r="C23" s="11">
        <f>1263.4*0.2</f>
        <v>252.68000000000004</v>
      </c>
      <c r="D23" s="11">
        <f>1263.4*0.2</f>
        <v>252.68000000000004</v>
      </c>
      <c r="E23" s="11">
        <f t="shared" ref="E23:M23" si="22">1263.4*0.2</f>
        <v>252.68000000000004</v>
      </c>
      <c r="F23" s="11">
        <f t="shared" si="22"/>
        <v>252.68000000000004</v>
      </c>
      <c r="G23" s="11">
        <f t="shared" si="22"/>
        <v>252.68000000000004</v>
      </c>
      <c r="H23" s="11">
        <f t="shared" si="22"/>
        <v>252.68000000000004</v>
      </c>
      <c r="I23" s="11">
        <f t="shared" si="22"/>
        <v>252.68000000000004</v>
      </c>
      <c r="J23" s="11">
        <f t="shared" si="22"/>
        <v>252.68000000000004</v>
      </c>
      <c r="K23" s="11">
        <f t="shared" si="22"/>
        <v>252.68000000000004</v>
      </c>
      <c r="L23" s="11">
        <f t="shared" si="22"/>
        <v>252.68000000000004</v>
      </c>
      <c r="M23" s="11">
        <f t="shared" si="22"/>
        <v>252.68000000000004</v>
      </c>
      <c r="N23" s="11">
        <f t="shared" ref="N23:N34" si="23">SUM(B23:M23)</f>
        <v>2994.2579999999998</v>
      </c>
    </row>
    <row r="24" spans="1:14" ht="21" customHeight="1" thickBot="1" x14ac:dyDescent="0.3">
      <c r="A24" s="3" t="s">
        <v>3</v>
      </c>
      <c r="B24" s="11">
        <f>27696.46*2.3%</f>
        <v>637.01857999999993</v>
      </c>
      <c r="C24" s="11">
        <f>28054.09*2.6%</f>
        <v>729.40634000000011</v>
      </c>
      <c r="D24" s="11">
        <f>25751.2*2.6%</f>
        <v>669.53120000000013</v>
      </c>
      <c r="E24" s="11">
        <f>27818.23*2.6%</f>
        <v>723.27398000000005</v>
      </c>
      <c r="F24" s="11">
        <f>27765.17*2.6%</f>
        <v>721.89441999999997</v>
      </c>
      <c r="G24" s="11">
        <f>28054.81*2.6%</f>
        <v>729.42506000000014</v>
      </c>
      <c r="H24" s="11">
        <f>27720.78*2.6%</f>
        <v>720.74027999999998</v>
      </c>
      <c r="I24" s="11">
        <f>37356.58*2.6%</f>
        <v>971.2710800000001</v>
      </c>
      <c r="J24" s="11">
        <f>38783.86*2.6%</f>
        <v>1008.3803600000001</v>
      </c>
      <c r="K24" s="11">
        <f>37356.58*2.6%</f>
        <v>971.2710800000001</v>
      </c>
      <c r="L24" s="11">
        <f>37564.51*2.6%</f>
        <v>976.67726000000016</v>
      </c>
      <c r="M24" s="11">
        <f>37356.58*2.6%</f>
        <v>971.2710800000001</v>
      </c>
      <c r="N24" s="11">
        <f t="shared" si="23"/>
        <v>9830.1607200000017</v>
      </c>
    </row>
    <row r="25" spans="1:14" ht="23.25" customHeight="1" thickBot="1" x14ac:dyDescent="0.3">
      <c r="A25" s="3" t="s">
        <v>4</v>
      </c>
      <c r="B25" s="11">
        <f>18862.8*3%</f>
        <v>565.8839999999999</v>
      </c>
      <c r="C25" s="11">
        <f>21438.56*3%</f>
        <v>643.15679999999998</v>
      </c>
      <c r="D25" s="11">
        <f>25573.01*3%</f>
        <v>767.19029999999998</v>
      </c>
      <c r="E25" s="11">
        <f>25231.33*3%</f>
        <v>756.93990000000008</v>
      </c>
      <c r="F25" s="11">
        <f>65240.69*3%</f>
        <v>1957.2207000000001</v>
      </c>
      <c r="G25" s="11">
        <f>23956.67*3%</f>
        <v>718.70009999999991</v>
      </c>
      <c r="H25" s="11">
        <f>21207.67*3%</f>
        <v>636.23009999999988</v>
      </c>
      <c r="I25" s="11">
        <f>19946.29*3%</f>
        <v>598.38869999999997</v>
      </c>
      <c r="J25" s="11">
        <f>46181.43*3%</f>
        <v>1385.4429</v>
      </c>
      <c r="K25" s="11">
        <f>30536.4*3%</f>
        <v>916.09199999999998</v>
      </c>
      <c r="L25" s="11">
        <f>27650.26*3%</f>
        <v>829.50779999999997</v>
      </c>
      <c r="M25" s="11">
        <f>42018.18*3%</f>
        <v>1260.5454</v>
      </c>
      <c r="N25" s="11">
        <f t="shared" si="23"/>
        <v>11035.298699999999</v>
      </c>
    </row>
    <row r="26" spans="1:14" ht="23.25" customHeight="1" thickBot="1" x14ac:dyDescent="0.3">
      <c r="A26" s="3" t="s">
        <v>9</v>
      </c>
      <c r="B26" s="11">
        <f>1263.4*12</f>
        <v>15160.800000000001</v>
      </c>
      <c r="C26" s="11">
        <f t="shared" ref="C26:M26" si="24">1263.4*12</f>
        <v>15160.800000000001</v>
      </c>
      <c r="D26" s="11">
        <f t="shared" si="24"/>
        <v>15160.800000000001</v>
      </c>
      <c r="E26" s="11">
        <f t="shared" si="24"/>
        <v>15160.800000000001</v>
      </c>
      <c r="F26" s="11">
        <f t="shared" si="24"/>
        <v>15160.800000000001</v>
      </c>
      <c r="G26" s="11">
        <f t="shared" si="24"/>
        <v>15160.800000000001</v>
      </c>
      <c r="H26" s="11">
        <f t="shared" si="24"/>
        <v>15160.800000000001</v>
      </c>
      <c r="I26" s="11">
        <f t="shared" si="24"/>
        <v>15160.800000000001</v>
      </c>
      <c r="J26" s="11">
        <f t="shared" si="24"/>
        <v>15160.800000000001</v>
      </c>
      <c r="K26" s="11">
        <f t="shared" si="24"/>
        <v>15160.800000000001</v>
      </c>
      <c r="L26" s="11">
        <f t="shared" si="24"/>
        <v>15160.800000000001</v>
      </c>
      <c r="M26" s="11">
        <f t="shared" si="24"/>
        <v>15160.800000000001</v>
      </c>
      <c r="N26" s="11">
        <f t="shared" si="23"/>
        <v>181929.59999999998</v>
      </c>
    </row>
    <row r="27" spans="1:14" ht="26.25" customHeight="1" thickBot="1" x14ac:dyDescent="0.3">
      <c r="A27" s="3" t="s">
        <v>18</v>
      </c>
      <c r="B27" s="11">
        <f>0+13.43</f>
        <v>13.43</v>
      </c>
      <c r="C27" s="11">
        <f>0+68.47</f>
        <v>68.47</v>
      </c>
      <c r="D27" s="11">
        <f>0+0</f>
        <v>0</v>
      </c>
      <c r="E27" s="11">
        <f>0+69.25</f>
        <v>69.25</v>
      </c>
      <c r="F27" s="11">
        <f>0+358.88</f>
        <v>358.88</v>
      </c>
      <c r="G27" s="11">
        <v>0</v>
      </c>
      <c r="H27" s="11">
        <v>0</v>
      </c>
      <c r="I27" s="11">
        <v>0</v>
      </c>
      <c r="J27" s="11">
        <v>0</v>
      </c>
      <c r="K27" s="11">
        <f>0+207.92</f>
        <v>207.92</v>
      </c>
      <c r="L27" s="11">
        <v>0</v>
      </c>
      <c r="M27" s="11">
        <v>0</v>
      </c>
      <c r="N27" s="11">
        <f t="shared" si="23"/>
        <v>717.94999999999993</v>
      </c>
    </row>
    <row r="28" spans="1:14" ht="25.5" customHeight="1" thickBot="1" x14ac:dyDescent="0.3">
      <c r="A28" s="3" t="s">
        <v>19</v>
      </c>
      <c r="B28" s="11">
        <v>124.13</v>
      </c>
      <c r="C28" s="11">
        <v>124.13</v>
      </c>
      <c r="D28" s="11">
        <v>124.13</v>
      </c>
      <c r="E28" s="11">
        <v>124.13</v>
      </c>
      <c r="F28" s="11">
        <v>124.13</v>
      </c>
      <c r="G28" s="11">
        <v>124.13</v>
      </c>
      <c r="H28" s="11">
        <v>161.36000000000001</v>
      </c>
      <c r="I28" s="11">
        <v>161.36000000000001</v>
      </c>
      <c r="J28" s="11">
        <v>161.36000000000001</v>
      </c>
      <c r="K28" s="11">
        <v>161.36000000000001</v>
      </c>
      <c r="L28" s="11">
        <v>161.36000000000001</v>
      </c>
      <c r="M28" s="11">
        <v>161.36000000000001</v>
      </c>
      <c r="N28" s="11">
        <f t="shared" si="23"/>
        <v>1712.9400000000005</v>
      </c>
    </row>
    <row r="29" spans="1:14" ht="23.25" customHeight="1" thickBot="1" x14ac:dyDescent="0.3">
      <c r="A29" s="3" t="s">
        <v>20</v>
      </c>
      <c r="B29" s="11">
        <v>344.72</v>
      </c>
      <c r="C29" s="11">
        <v>0</v>
      </c>
      <c r="D29" s="11">
        <v>122.32</v>
      </c>
      <c r="E29" s="11">
        <v>0</v>
      </c>
      <c r="F29" s="11">
        <v>0</v>
      </c>
      <c r="G29" s="11">
        <v>0</v>
      </c>
      <c r="H29" s="11">
        <v>0</v>
      </c>
      <c r="I29" s="11">
        <v>1427.28</v>
      </c>
      <c r="J29" s="11">
        <v>0</v>
      </c>
      <c r="K29" s="11">
        <v>0</v>
      </c>
      <c r="L29" s="11">
        <v>0</v>
      </c>
      <c r="M29" s="11">
        <v>0</v>
      </c>
      <c r="N29" s="11">
        <f t="shared" si="23"/>
        <v>1894.32</v>
      </c>
    </row>
    <row r="30" spans="1:14" ht="26.25" customHeight="1" thickBot="1" x14ac:dyDescent="0.3">
      <c r="A30" s="3" t="s">
        <v>23</v>
      </c>
      <c r="B30" s="11">
        <f>83.48+0</f>
        <v>83.48</v>
      </c>
      <c r="C30" s="11">
        <f t="shared" ref="C30:G30" si="25">83.48+0</f>
        <v>83.48</v>
      </c>
      <c r="D30" s="11">
        <f t="shared" si="25"/>
        <v>83.48</v>
      </c>
      <c r="E30" s="11">
        <f t="shared" si="25"/>
        <v>83.48</v>
      </c>
      <c r="F30" s="11">
        <f t="shared" si="25"/>
        <v>83.48</v>
      </c>
      <c r="G30" s="11">
        <f t="shared" si="25"/>
        <v>83.48</v>
      </c>
      <c r="H30" s="11">
        <f>92.14+0</f>
        <v>92.14</v>
      </c>
      <c r="I30" s="11">
        <f t="shared" ref="I30:M30" si="26">92.14+0</f>
        <v>92.14</v>
      </c>
      <c r="J30" s="11">
        <f t="shared" si="26"/>
        <v>92.14</v>
      </c>
      <c r="K30" s="11">
        <f t="shared" si="26"/>
        <v>92.14</v>
      </c>
      <c r="L30" s="11">
        <f t="shared" si="26"/>
        <v>92.14</v>
      </c>
      <c r="M30" s="11">
        <f t="shared" si="26"/>
        <v>92.14</v>
      </c>
      <c r="N30" s="11">
        <f t="shared" si="23"/>
        <v>1053.72</v>
      </c>
    </row>
    <row r="31" spans="1:14" ht="22.5" customHeight="1" thickBot="1" x14ac:dyDescent="0.3">
      <c r="A31" s="3" t="s">
        <v>6</v>
      </c>
      <c r="B31" s="11">
        <f t="shared" ref="B31:H31" si="27">1263.4*3.15</f>
        <v>3979.71</v>
      </c>
      <c r="C31" s="11">
        <f t="shared" si="27"/>
        <v>3979.71</v>
      </c>
      <c r="D31" s="11">
        <f t="shared" si="27"/>
        <v>3979.71</v>
      </c>
      <c r="E31" s="11">
        <f t="shared" si="27"/>
        <v>3979.71</v>
      </c>
      <c r="F31" s="11">
        <f t="shared" si="27"/>
        <v>3979.71</v>
      </c>
      <c r="G31" s="11">
        <f t="shared" si="27"/>
        <v>3979.71</v>
      </c>
      <c r="H31" s="11">
        <f t="shared" si="27"/>
        <v>3979.71</v>
      </c>
      <c r="I31" s="11">
        <f>1263.4*4.3</f>
        <v>5432.62</v>
      </c>
      <c r="J31" s="11">
        <f>1263.4*4.3</f>
        <v>5432.62</v>
      </c>
      <c r="K31" s="11">
        <f t="shared" ref="K31:M31" si="28">1263.4*4.3</f>
        <v>5432.62</v>
      </c>
      <c r="L31" s="11">
        <f t="shared" si="28"/>
        <v>5432.62</v>
      </c>
      <c r="M31" s="11">
        <f t="shared" si="28"/>
        <v>5432.62</v>
      </c>
      <c r="N31" s="11">
        <f t="shared" si="23"/>
        <v>55021.070000000007</v>
      </c>
    </row>
    <row r="32" spans="1:14" ht="22.5" customHeight="1" thickBot="1" x14ac:dyDescent="0.3">
      <c r="A32" s="3" t="s">
        <v>25</v>
      </c>
      <c r="B32" s="11">
        <v>1000</v>
      </c>
      <c r="C32" s="11">
        <v>1000</v>
      </c>
      <c r="D32" s="11">
        <v>1000</v>
      </c>
      <c r="E32" s="11">
        <v>1000</v>
      </c>
      <c r="F32" s="11">
        <v>1000</v>
      </c>
      <c r="G32" s="11">
        <v>1000</v>
      </c>
      <c r="H32" s="11">
        <v>1000</v>
      </c>
      <c r="I32" s="11">
        <v>1000</v>
      </c>
      <c r="J32" s="11">
        <v>0</v>
      </c>
      <c r="K32" s="11">
        <v>1000</v>
      </c>
      <c r="L32" s="11">
        <v>1000</v>
      </c>
      <c r="M32" s="11">
        <v>1000</v>
      </c>
      <c r="N32" s="11">
        <f t="shared" si="23"/>
        <v>11000</v>
      </c>
    </row>
    <row r="33" spans="1:14" ht="24.75" customHeight="1" thickBot="1" x14ac:dyDescent="0.3">
      <c r="A33" s="3" t="s">
        <v>24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9279.2900000000009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23"/>
        <v>9279.2900000000009</v>
      </c>
    </row>
    <row r="34" spans="1:14" ht="24" customHeight="1" thickBot="1" x14ac:dyDescent="0.3">
      <c r="A34" s="3" t="s">
        <v>10</v>
      </c>
      <c r="B34" s="11">
        <f>850</f>
        <v>850</v>
      </c>
      <c r="C34" s="11">
        <v>0</v>
      </c>
      <c r="D34" s="11">
        <f>14092.3</f>
        <v>14092.3</v>
      </c>
      <c r="E34" s="11">
        <f>5457.7</f>
        <v>5457.7</v>
      </c>
      <c r="F34" s="11">
        <f>24577.2</f>
        <v>24577.200000000001</v>
      </c>
      <c r="G34" s="11">
        <v>0</v>
      </c>
      <c r="H34" s="11">
        <v>0</v>
      </c>
      <c r="I34" s="11">
        <f>2935+9105</f>
        <v>12040</v>
      </c>
      <c r="J34" s="11">
        <f>8600</f>
        <v>8600</v>
      </c>
      <c r="K34" s="11">
        <f>3353.5</f>
        <v>3353.5</v>
      </c>
      <c r="L34" s="11">
        <v>0</v>
      </c>
      <c r="M34" s="11">
        <v>15000</v>
      </c>
      <c r="N34" s="11">
        <f t="shared" si="23"/>
        <v>83970.7</v>
      </c>
    </row>
    <row r="35" spans="1:14" ht="22.5" customHeight="1" thickBot="1" x14ac:dyDescent="0.3">
      <c r="A35" s="9" t="s">
        <v>21</v>
      </c>
      <c r="B35" s="10">
        <f>SUM(B22:B34)</f>
        <v>23731.990580000002</v>
      </c>
      <c r="C35" s="10">
        <f t="shared" ref="C35:M35" si="29">SUM(C22:C34)</f>
        <v>22799.873140000003</v>
      </c>
      <c r="D35" s="10">
        <f t="shared" si="29"/>
        <v>37010.181499999999</v>
      </c>
      <c r="E35" s="10">
        <f t="shared" si="29"/>
        <v>28366.00388</v>
      </c>
      <c r="F35" s="10">
        <f t="shared" si="29"/>
        <v>48974.03512</v>
      </c>
      <c r="G35" s="10">
        <f t="shared" si="29"/>
        <v>22806.96516</v>
      </c>
      <c r="H35" s="10">
        <f t="shared" si="29"/>
        <v>32040.990380000003</v>
      </c>
      <c r="I35" s="10">
        <f t="shared" si="29"/>
        <v>37894.57978</v>
      </c>
      <c r="J35" s="10">
        <f t="shared" si="29"/>
        <v>32851.463260000004</v>
      </c>
      <c r="K35" s="10">
        <f t="shared" si="29"/>
        <v>28306.423079999997</v>
      </c>
      <c r="L35" s="10">
        <f t="shared" si="29"/>
        <v>24663.825059999999</v>
      </c>
      <c r="M35" s="10">
        <f t="shared" si="29"/>
        <v>40089.456480000001</v>
      </c>
      <c r="N35" s="10">
        <f>SUM(B35:M35)</f>
        <v>379535.78742000001</v>
      </c>
    </row>
    <row r="36" spans="1:14" ht="23.25" customHeight="1" thickBot="1" x14ac:dyDescent="0.3">
      <c r="A36" s="3" t="s">
        <v>5</v>
      </c>
      <c r="B36" s="14">
        <f t="shared" ref="B36:N36" si="30">B14-B35</f>
        <v>-4869.1905800000022</v>
      </c>
      <c r="C36" s="14">
        <f t="shared" si="30"/>
        <v>-1361.3131400000057</v>
      </c>
      <c r="D36" s="14">
        <f t="shared" si="30"/>
        <v>-11437.1715</v>
      </c>
      <c r="E36" s="14">
        <f t="shared" si="30"/>
        <v>-3134.6738799999985</v>
      </c>
      <c r="F36" s="14">
        <f t="shared" si="30"/>
        <v>16266.654879999995</v>
      </c>
      <c r="G36" s="14">
        <f t="shared" si="30"/>
        <v>1149.7048399999985</v>
      </c>
      <c r="H36" s="14">
        <f t="shared" si="30"/>
        <v>-10833.320380000005</v>
      </c>
      <c r="I36" s="14">
        <f t="shared" si="30"/>
        <v>-17948.289780000003</v>
      </c>
      <c r="J36" s="14">
        <f t="shared" si="30"/>
        <v>13329.966739999996</v>
      </c>
      <c r="K36" s="14">
        <f t="shared" si="30"/>
        <v>2229.976920000001</v>
      </c>
      <c r="L36" s="14">
        <f t="shared" si="30"/>
        <v>2986.4349399999992</v>
      </c>
      <c r="M36" s="14">
        <f t="shared" si="30"/>
        <v>1928.7235199999996</v>
      </c>
      <c r="N36" s="14">
        <f t="shared" si="30"/>
        <v>-11692.497419999971</v>
      </c>
    </row>
    <row r="37" spans="1:14" ht="23.25" customHeight="1" thickBot="1" x14ac:dyDescent="0.3">
      <c r="A37" s="3" t="s">
        <v>7</v>
      </c>
      <c r="B37" s="16">
        <f t="shared" ref="B37:N37" si="31">B5+B36</f>
        <v>-482181.54057999997</v>
      </c>
      <c r="C37" s="16">
        <f t="shared" si="31"/>
        <v>-483542.85371999996</v>
      </c>
      <c r="D37" s="16">
        <f t="shared" si="31"/>
        <v>-494980.02521999995</v>
      </c>
      <c r="E37" s="16">
        <f t="shared" si="31"/>
        <v>-498114.69909999997</v>
      </c>
      <c r="F37" s="16">
        <f t="shared" si="31"/>
        <v>-481848.04421999998</v>
      </c>
      <c r="G37" s="16">
        <f t="shared" si="31"/>
        <v>-480698.33937999996</v>
      </c>
      <c r="H37" s="16">
        <f t="shared" si="31"/>
        <v>-491531.65975999995</v>
      </c>
      <c r="I37" s="16">
        <f t="shared" si="31"/>
        <v>-509479.94953999994</v>
      </c>
      <c r="J37" s="16">
        <f t="shared" si="31"/>
        <v>-496149.98279999994</v>
      </c>
      <c r="K37" s="16">
        <f t="shared" si="31"/>
        <v>-493920.00587999995</v>
      </c>
      <c r="L37" s="16">
        <f t="shared" si="31"/>
        <v>-490933.57093999995</v>
      </c>
      <c r="M37" s="16">
        <f t="shared" si="31"/>
        <v>-489004.84741999995</v>
      </c>
      <c r="N37" s="16">
        <f t="shared" si="31"/>
        <v>-489004.84741999995</v>
      </c>
    </row>
    <row r="38" spans="1:14" ht="27" customHeight="1" thickBot="1" x14ac:dyDescent="0.3">
      <c r="A38" s="17" t="s">
        <v>11</v>
      </c>
      <c r="B38" s="19">
        <f t="shared" ref="B38:N38" si="32">B6+B14-B7</f>
        <v>-106782.76999999999</v>
      </c>
      <c r="C38" s="19">
        <f t="shared" si="32"/>
        <v>-113598.29999999999</v>
      </c>
      <c r="D38" s="19">
        <f t="shared" si="32"/>
        <v>-113976.48999999999</v>
      </c>
      <c r="E38" s="19">
        <f t="shared" si="32"/>
        <v>-116763.38999999998</v>
      </c>
      <c r="F38" s="19">
        <f t="shared" si="32"/>
        <v>-79487.87</v>
      </c>
      <c r="G38" s="19">
        <f t="shared" si="32"/>
        <v>-83786.009999999995</v>
      </c>
      <c r="H38" s="19">
        <f t="shared" si="32"/>
        <v>-90499.12</v>
      </c>
      <c r="I38" s="19">
        <f t="shared" si="32"/>
        <v>-108109.41</v>
      </c>
      <c r="J38" s="19">
        <f t="shared" si="32"/>
        <v>-100911.84</v>
      </c>
      <c r="K38" s="19">
        <f t="shared" si="32"/>
        <v>-107732.01999999999</v>
      </c>
      <c r="L38" s="19">
        <f t="shared" si="32"/>
        <v>-117646.26999999999</v>
      </c>
      <c r="M38" s="19">
        <f t="shared" si="32"/>
        <v>-112984.66999999998</v>
      </c>
      <c r="N38" s="19">
        <f t="shared" si="32"/>
        <v>-112984.66999999998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2026-02-18T02:44:53Z</cp:lastPrinted>
  <dcterms:created xsi:type="dcterms:W3CDTF">2011-06-06T03:25:48Z</dcterms:created>
  <dcterms:modified xsi:type="dcterms:W3CDTF">2026-02-18T02:45:38Z</dcterms:modified>
</cp:coreProperties>
</file>