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35" i="1" l="1"/>
  <c r="K35" i="1" l="1"/>
  <c r="M34" i="1" l="1"/>
  <c r="L34" i="1"/>
  <c r="K34" i="1" l="1"/>
  <c r="L35" i="1" l="1"/>
  <c r="M27" i="1" l="1"/>
  <c r="L27" i="1"/>
  <c r="M25" i="1" l="1"/>
  <c r="M15" i="1"/>
  <c r="M24" i="1"/>
  <c r="M8" i="1"/>
  <c r="L25" i="1" l="1"/>
  <c r="L15" i="1"/>
  <c r="L24" i="1"/>
  <c r="L8" i="1"/>
  <c r="K25" i="1" l="1"/>
  <c r="K15" i="1"/>
  <c r="K24" i="1"/>
  <c r="K8" i="1"/>
  <c r="K31" i="1" l="1"/>
  <c r="L31" i="1"/>
  <c r="M31" i="1"/>
  <c r="K26" i="1"/>
  <c r="L26" i="1"/>
  <c r="M26" i="1"/>
  <c r="K23" i="1"/>
  <c r="L23" i="1"/>
  <c r="M23" i="1"/>
  <c r="K22" i="1"/>
  <c r="L22" i="1"/>
  <c r="M22" i="1"/>
  <c r="J35" i="1" l="1"/>
  <c r="H27" i="1" l="1"/>
  <c r="J34" i="1" l="1"/>
  <c r="I34" i="1" l="1"/>
  <c r="H35" i="1" l="1"/>
  <c r="H34" i="1" l="1"/>
  <c r="J25" i="1" l="1"/>
  <c r="J15" i="1"/>
  <c r="J24" i="1"/>
  <c r="J8" i="1"/>
  <c r="I25" i="1" l="1"/>
  <c r="I15" i="1"/>
  <c r="I24" i="1"/>
  <c r="I8" i="1"/>
  <c r="J31" i="1" l="1"/>
  <c r="H25" i="1" l="1"/>
  <c r="H15" i="1"/>
  <c r="H24" i="1"/>
  <c r="H8" i="1"/>
  <c r="H31" i="1"/>
  <c r="I31" i="1"/>
  <c r="H26" i="1"/>
  <c r="I26" i="1"/>
  <c r="J26" i="1"/>
  <c r="H23" i="1"/>
  <c r="I23" i="1"/>
  <c r="J23" i="1"/>
  <c r="H22" i="1"/>
  <c r="I22" i="1"/>
  <c r="J22" i="1"/>
  <c r="F35" i="1" l="1"/>
  <c r="C34" i="1" l="1"/>
  <c r="D34" i="1"/>
  <c r="E34" i="1"/>
  <c r="F34" i="1"/>
  <c r="G34" i="1"/>
  <c r="B34" i="1"/>
  <c r="G27" i="1" l="1"/>
  <c r="F27" i="1"/>
  <c r="G35" i="1" l="1"/>
  <c r="E35" i="1" l="1"/>
  <c r="G25" i="1" l="1"/>
  <c r="G15" i="1"/>
  <c r="G24" i="1"/>
  <c r="G8" i="1"/>
  <c r="F25" i="1" l="1"/>
  <c r="F15" i="1"/>
  <c r="F24" i="1"/>
  <c r="F8" i="1"/>
  <c r="E25" i="1" l="1"/>
  <c r="E15" i="1"/>
  <c r="E24" i="1"/>
  <c r="E8" i="1"/>
  <c r="E31" i="1" l="1"/>
  <c r="F31" i="1"/>
  <c r="G31" i="1"/>
  <c r="E26" i="1"/>
  <c r="F26" i="1"/>
  <c r="G26" i="1"/>
  <c r="E23" i="1"/>
  <c r="F23" i="1"/>
  <c r="G23" i="1"/>
  <c r="E22" i="1"/>
  <c r="F22" i="1"/>
  <c r="G22" i="1"/>
  <c r="D40" i="1" l="1"/>
  <c r="C26" i="1" l="1"/>
  <c r="D26" i="1"/>
  <c r="B26" i="1"/>
  <c r="D24" i="1"/>
  <c r="C24" i="1"/>
  <c r="D23" i="1"/>
  <c r="C23" i="1"/>
  <c r="D25" i="1" l="1"/>
  <c r="D15" i="1"/>
  <c r="D8" i="1"/>
  <c r="D7" i="1"/>
  <c r="D14" i="1"/>
  <c r="E6" i="1"/>
  <c r="N39" i="1"/>
  <c r="C25" i="1"/>
  <c r="C15" i="1"/>
  <c r="C8" i="1"/>
  <c r="B25" i="1"/>
  <c r="B15" i="1"/>
  <c r="B24" i="1"/>
  <c r="B8" i="1"/>
  <c r="C31" i="1"/>
  <c r="D31" i="1"/>
  <c r="C22" i="1"/>
  <c r="D22" i="1"/>
  <c r="B31" i="1"/>
  <c r="B23" i="1"/>
  <c r="B22" i="1"/>
  <c r="N34" i="1"/>
  <c r="N33" i="1"/>
  <c r="N26" i="1"/>
  <c r="N28" i="1"/>
  <c r="N29" i="1"/>
  <c r="N30" i="1"/>
  <c r="N32" i="1"/>
  <c r="N31" i="1"/>
  <c r="N23" i="1"/>
  <c r="N22" i="1"/>
  <c r="H14" i="1"/>
  <c r="H7" i="1"/>
  <c r="H36" i="1"/>
  <c r="E14" i="1"/>
  <c r="F14" i="1"/>
  <c r="G14" i="1"/>
  <c r="E7" i="1"/>
  <c r="F7" i="1"/>
  <c r="G7" i="1"/>
  <c r="N35" i="1"/>
  <c r="G36" i="1"/>
  <c r="F36" i="1"/>
  <c r="E36" i="1"/>
  <c r="N27" i="1"/>
  <c r="N25" i="1"/>
  <c r="N24" i="1"/>
  <c r="C14" i="1"/>
  <c r="C7" i="1"/>
  <c r="N6" i="1"/>
  <c r="N5" i="1"/>
  <c r="D36" i="1"/>
  <c r="D37" i="1" s="1"/>
  <c r="C36" i="1"/>
  <c r="C37" i="1" s="1"/>
  <c r="N16" i="1"/>
  <c r="N17" i="1"/>
  <c r="N18" i="1"/>
  <c r="N19" i="1"/>
  <c r="N20" i="1"/>
  <c r="K14" i="1"/>
  <c r="L14" i="1"/>
  <c r="M14" i="1"/>
  <c r="N9" i="1"/>
  <c r="N10" i="1"/>
  <c r="N11" i="1"/>
  <c r="N12" i="1"/>
  <c r="N13" i="1"/>
  <c r="K7" i="1"/>
  <c r="L7" i="1"/>
  <c r="M7" i="1"/>
  <c r="K36" i="1"/>
  <c r="M36" i="1"/>
  <c r="L36" i="1"/>
  <c r="N15" i="1"/>
  <c r="N8" i="1"/>
  <c r="I7" i="1"/>
  <c r="B14" i="1"/>
  <c r="I14" i="1"/>
  <c r="I36" i="1"/>
  <c r="B7" i="1"/>
  <c r="B40" i="1"/>
  <c r="B36" i="1"/>
  <c r="B37" i="1" s="1"/>
  <c r="B38" i="1" s="1"/>
  <c r="C5" i="1" s="1"/>
  <c r="C6" i="1"/>
  <c r="J14" i="1"/>
  <c r="J7" i="1"/>
  <c r="J36" i="1"/>
  <c r="C40" i="1"/>
  <c r="D6" i="1"/>
  <c r="M37" i="1" l="1"/>
  <c r="L37" i="1"/>
  <c r="K37" i="1"/>
  <c r="J37" i="1"/>
  <c r="I37" i="1"/>
  <c r="H37" i="1"/>
  <c r="G37" i="1"/>
  <c r="F37" i="1"/>
  <c r="N14" i="1"/>
  <c r="E40" i="1"/>
  <c r="F6" i="1" s="1"/>
  <c r="E37" i="1"/>
  <c r="N7" i="1"/>
  <c r="F40" i="1"/>
  <c r="G6" i="1" s="1"/>
  <c r="C38" i="1"/>
  <c r="D5" i="1" s="1"/>
  <c r="D38" i="1" s="1"/>
  <c r="E5" i="1" s="1"/>
  <c r="N36" i="1"/>
  <c r="N40" i="1" l="1"/>
  <c r="N37" i="1"/>
  <c r="N38" i="1" s="1"/>
  <c r="E38" i="1"/>
  <c r="F5" i="1" s="1"/>
  <c r="F38" i="1" s="1"/>
  <c r="G5" i="1" s="1"/>
  <c r="G38" i="1" s="1"/>
  <c r="H5" i="1" s="1"/>
  <c r="H38" i="1" s="1"/>
  <c r="I5" i="1" s="1"/>
  <c r="I38" i="1" s="1"/>
  <c r="J5" i="1" s="1"/>
  <c r="J38" i="1" s="1"/>
  <c r="K5" i="1" s="1"/>
  <c r="K38" i="1" s="1"/>
  <c r="L5" i="1" s="1"/>
  <c r="L38" i="1" s="1"/>
  <c r="M5" i="1" s="1"/>
  <c r="M38" i="1" s="1"/>
  <c r="G40" i="1"/>
  <c r="H6" i="1" s="1"/>
  <c r="H40" i="1" l="1"/>
  <c r="I6" i="1" s="1"/>
  <c r="I40" i="1" l="1"/>
  <c r="J6" i="1" s="1"/>
  <c r="J40" i="1" l="1"/>
  <c r="K6" i="1" s="1"/>
  <c r="K40" i="1" l="1"/>
  <c r="L6" i="1" s="1"/>
  <c r="L40" i="1" l="1"/>
  <c r="M6" i="1" s="1"/>
  <c r="M40" i="1" s="1"/>
</calcChain>
</file>

<file path=xl/sharedStrings.xml><?xml version="1.0" encoding="utf-8"?>
<sst xmlns="http://schemas.openxmlformats.org/spreadsheetml/2006/main" count="51" uniqueCount="44">
  <si>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</si>
  <si>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</si>
  <si>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</si>
  <si>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</si>
  <si>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</si>
  <si>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</si>
  <si>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</si>
  <si>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</si>
  <si>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</si>
  <si>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</si>
  <si>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</si>
  <si>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</si>
  <si>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</si>
  <si>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</si>
  <si>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</si>
  <si>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</si>
  <si>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</si>
  <si>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</si>
  <si>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</si>
  <si>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</si>
  <si>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</si>
  <si>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</si>
  <si>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</si>
  <si>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</si>
  <si>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приборов учета</t>
  </si>
  <si>
    <t xml:space="preserve">Содержание жилья и текущий ремонт, ОПУ </t>
  </si>
  <si>
    <t>Содержание жилья и текущий ремонт, ОПУ</t>
  </si>
  <si>
    <t>Вознаграждение совета МКД</t>
  </si>
  <si>
    <t>Налоги с вознаграждения совета МКД</t>
  </si>
  <si>
    <t>Январь 2025г</t>
  </si>
  <si>
    <t>Февраль 2025г</t>
  </si>
  <si>
    <t>Март 2025г</t>
  </si>
  <si>
    <t>Апрель 2025г</t>
  </si>
  <si>
    <t>Май 2025г</t>
  </si>
  <si>
    <t>Июнь 2025г</t>
  </si>
  <si>
    <t>Июль 2025г</t>
  </si>
  <si>
    <t>Август 2025г</t>
  </si>
  <si>
    <t>Сентябрь 2025г</t>
  </si>
  <si>
    <t>Октябрь 2025г.</t>
  </si>
  <si>
    <t>Ноябрь 2025г.</t>
  </si>
  <si>
    <t>Декабрь 2025г.</t>
  </si>
  <si>
    <t>Всего:                       за  2025г</t>
  </si>
  <si>
    <t xml:space="preserve">Корректировка задолженности </t>
  </si>
  <si>
    <t xml:space="preserve">                 ОТЧЕТ по дому 8 Марта, 15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</si>
</sst>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topLeftCell="C1" zoomScale="75" workbookViewId="0">
      <selection activeCell="B9" sqref="B9"/>
    </sheetView>
  </sheetViews>
  <sheetFormatPr defaultRowHeight="13.2" x14ac:dyDescent="0.25"/>
  <cols>
    <col min="1" max="1" width="53.5546875" customWidth="1"/>
    <col min="2" max="3" width="14.21875" customWidth="1"/>
    <col min="4" max="4" width="14.6640625" customWidth="1"/>
    <col min="5" max="5" width="15.109375" customWidth="1"/>
    <col min="6" max="6" width="14.33203125" customWidth="1"/>
    <col min="7" max="7" width="15" customWidth="1"/>
    <col min="8" max="8" width="15.44140625" customWidth="1"/>
    <col min="9" max="9" width="13.77734375" customWidth="1"/>
    <col min="10" max="10" width="14.5546875" customWidth="1"/>
    <col min="11" max="11" width="14.77734375" customWidth="1"/>
    <col min="12" max="13" width="14.5546875" customWidth="1"/>
    <col min="14" max="14" width="14.44140625" customWidth="1"/>
  </cols>
  <sheetData>
    <row r="1" spans="1:18" ht="20.25" customHeight="1" x14ac:dyDescent="0.35">
      <c r="A1" s="22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14</v>
      </c>
      <c r="B5" s="8">
        <v>-216009.49</v>
      </c>
      <c r="C5" s="8">
        <f>B38</f>
        <v>-209377.26697999999</v>
      </c>
      <c r="D5" s="8">
        <f>C38</f>
        <v>-193582.81718000001</v>
      </c>
      <c r="E5" s="8">
        <f t="shared" ref="E5:G5" si="0">D38</f>
        <v>-178815.08858000001</v>
      </c>
      <c r="F5" s="8">
        <f>E38</f>
        <v>-181746.32798</v>
      </c>
      <c r="G5" s="8">
        <f t="shared" si="0"/>
        <v>-164324.35927999998</v>
      </c>
      <c r="H5" s="8">
        <f t="shared" ref="H5" si="1">G38</f>
        <v>-179745.98317999998</v>
      </c>
      <c r="I5" s="8">
        <f t="shared" ref="I5" si="2">H38</f>
        <v>-422348.1139</v>
      </c>
      <c r="J5" s="8">
        <f t="shared" ref="J5" si="3">I38</f>
        <v>-421733.67722000001</v>
      </c>
      <c r="K5" s="8">
        <f t="shared" ref="K5" si="4">J38</f>
        <v>-402971.16578000004</v>
      </c>
      <c r="L5" s="8">
        <f t="shared" ref="L5" si="5">K38</f>
        <v>-389576.84548000002</v>
      </c>
      <c r="M5" s="8">
        <f t="shared" ref="M5" si="6">L38</f>
        <v>-379592.89668000001</v>
      </c>
      <c r="N5" s="8">
        <f>B5</f>
        <v>-216009.49</v>
      </c>
    </row>
    <row r="6" spans="1:18" ht="21" customHeight="1" thickBot="1" x14ac:dyDescent="0.3">
      <c r="A6" s="7" t="s">
        <v>13</v>
      </c>
      <c r="B6" s="8">
        <v>-144276.07</v>
      </c>
      <c r="C6" s="8">
        <f>B40</f>
        <v>-155478.49</v>
      </c>
      <c r="D6" s="8">
        <f>C40</f>
        <v>-154656.19</v>
      </c>
      <c r="E6" s="8">
        <f t="shared" ref="E6:G6" si="7">D40</f>
        <v>-144757.81</v>
      </c>
      <c r="F6" s="8">
        <f>E40</f>
        <v>-151113.87</v>
      </c>
      <c r="G6" s="8">
        <f t="shared" si="7"/>
        <v>-139149.19999999998</v>
      </c>
      <c r="H6" s="8">
        <f t="shared" ref="H6:M6" si="8">G40</f>
        <v>-155676.87</v>
      </c>
      <c r="I6" s="8">
        <f t="shared" si="8"/>
        <v>-147023.19</v>
      </c>
      <c r="J6" s="8">
        <f t="shared" si="8"/>
        <v>-173011.65000000002</v>
      </c>
      <c r="K6" s="8">
        <f t="shared" si="8"/>
        <v>-187921.41000000003</v>
      </c>
      <c r="L6" s="8">
        <f t="shared" si="8"/>
        <v>-186388.78000000003</v>
      </c>
      <c r="M6" s="8">
        <f t="shared" si="8"/>
        <v>-198701.22000000003</v>
      </c>
      <c r="N6" s="8">
        <f>B6</f>
        <v>-144276.07</v>
      </c>
    </row>
    <row r="7" spans="1:18" ht="20.25" customHeight="1" thickBot="1" x14ac:dyDescent="0.3">
      <c r="A7" s="9" t="s">
        <v>12</v>
      </c>
      <c r="B7" s="10">
        <f>SUM(B8:B13)</f>
        <v>85602.859999999986</v>
      </c>
      <c r="C7" s="10">
        <f t="shared" ref="C7:H7" si="9">SUM(C8:C13)</f>
        <v>80681.2</v>
      </c>
      <c r="D7" s="10">
        <f t="shared" si="9"/>
        <v>80681.2</v>
      </c>
      <c r="E7" s="10">
        <f t="shared" si="9"/>
        <v>80681.2</v>
      </c>
      <c r="F7" s="10">
        <f t="shared" si="9"/>
        <v>80681.2</v>
      </c>
      <c r="G7" s="10">
        <f t="shared" si="9"/>
        <v>81330</v>
      </c>
      <c r="H7" s="10">
        <f t="shared" si="9"/>
        <v>80851.72</v>
      </c>
      <c r="I7" s="10">
        <f>SUM(I8:I13)</f>
        <v>98875.77</v>
      </c>
      <c r="J7" s="10">
        <f>SUM(J8:J13)</f>
        <v>107573.06</v>
      </c>
      <c r="K7" s="10">
        <f t="shared" ref="K7:M7" si="10">SUM(K8:K13)</f>
        <v>102855.55</v>
      </c>
      <c r="L7" s="10">
        <f t="shared" si="10"/>
        <v>107414.90000000001</v>
      </c>
      <c r="M7" s="10">
        <f t="shared" si="10"/>
        <v>103892.1</v>
      </c>
      <c r="N7" s="10">
        <f>SUM(B7:M7)</f>
        <v>1091120.76</v>
      </c>
    </row>
    <row r="8" spans="1:18" ht="24.75" customHeight="1" thickBot="1" x14ac:dyDescent="0.3">
      <c r="A8" s="4" t="s">
        <v>25</v>
      </c>
      <c r="B8" s="11">
        <f>73165.2+1464.7</f>
        <v>74629.899999999994</v>
      </c>
      <c r="C8" s="11">
        <f>73165.2+1464.7</f>
        <v>74629.899999999994</v>
      </c>
      <c r="D8" s="11">
        <f>73165.2+1464.7</f>
        <v>74629.899999999994</v>
      </c>
      <c r="E8" s="11">
        <f>73165.2+1464.7</f>
        <v>74629.899999999994</v>
      </c>
      <c r="F8" s="11">
        <f>73165.2+1464.7</f>
        <v>74629.899999999994</v>
      </c>
      <c r="G8" s="11">
        <f>1464.7+73165.2</f>
        <v>74629.899999999994</v>
      </c>
      <c r="H8" s="11">
        <f>73165.2+1464.7</f>
        <v>74629.899999999994</v>
      </c>
      <c r="I8" s="11">
        <f>1464.7+73165.2</f>
        <v>74629.899999999994</v>
      </c>
      <c r="J8" s="11">
        <f>95339.55+1464.7</f>
        <v>96804.25</v>
      </c>
      <c r="K8" s="11">
        <f>95339.55+1464.7</f>
        <v>96804.25</v>
      </c>
      <c r="L8" s="11">
        <f>95339.55+1464.7</f>
        <v>96804.25</v>
      </c>
      <c r="M8" s="11">
        <f>1464.7+95339.55</f>
        <v>96804.25</v>
      </c>
      <c r="N8" s="11">
        <f>SUM(B8:M8)</f>
        <v>984256.20000000007</v>
      </c>
    </row>
    <row r="9" spans="1:18" ht="24.75" customHeight="1" thickBot="1" x14ac:dyDescent="0.3">
      <c r="A9" s="4" t="s">
        <v>15</v>
      </c>
      <c r="B9" s="11">
        <v>1619.26</v>
      </c>
      <c r="C9" s="11">
        <v>0</v>
      </c>
      <c r="D9" s="11">
        <v>0</v>
      </c>
      <c r="E9" s="11">
        <v>0</v>
      </c>
      <c r="F9" s="11">
        <v>0</v>
      </c>
      <c r="G9" s="11">
        <v>648.79999999999995</v>
      </c>
      <c r="H9" s="11">
        <v>170.52</v>
      </c>
      <c r="I9" s="11">
        <v>5765.85</v>
      </c>
      <c r="J9" s="11">
        <v>0</v>
      </c>
      <c r="K9" s="11">
        <v>0</v>
      </c>
      <c r="L9" s="11">
        <v>0</v>
      </c>
      <c r="M9" s="11">
        <v>1036.55</v>
      </c>
      <c r="N9" s="11">
        <f t="shared" ref="N9:N13" si="11">SUM(B9:M9)</f>
        <v>9240.98</v>
      </c>
    </row>
    <row r="10" spans="1:18" ht="21.75" customHeight="1" thickBot="1" x14ac:dyDescent="0.3">
      <c r="A10" s="4" t="s">
        <v>16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si="11"/>
        <v>0</v>
      </c>
    </row>
    <row r="11" spans="1:18" ht="22.5" customHeight="1" thickBot="1" x14ac:dyDescent="0.3">
      <c r="A11" s="4" t="s">
        <v>17</v>
      </c>
      <c r="B11" s="11">
        <v>3302.4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12428.72</v>
      </c>
      <c r="J11" s="11">
        <v>4717.51</v>
      </c>
      <c r="K11" s="11">
        <v>0</v>
      </c>
      <c r="L11" s="11">
        <v>4559.3500000000004</v>
      </c>
      <c r="M11" s="11">
        <v>0</v>
      </c>
      <c r="N11" s="11">
        <f t="shared" si="11"/>
        <v>25007.979999999996</v>
      </c>
    </row>
    <row r="12" spans="1:18" ht="22.5" customHeight="1" thickBot="1" x14ac:dyDescent="0.3">
      <c r="A12" s="4" t="s">
        <v>23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f t="shared" si="11"/>
        <v>0</v>
      </c>
    </row>
    <row r="13" spans="1:18" ht="24" customHeight="1" thickBot="1" x14ac:dyDescent="0.3">
      <c r="A13" s="4" t="s">
        <v>27</v>
      </c>
      <c r="B13" s="11">
        <v>6051.3</v>
      </c>
      <c r="C13" s="11">
        <v>6051.3</v>
      </c>
      <c r="D13" s="11">
        <v>6051.3</v>
      </c>
      <c r="E13" s="11">
        <v>6051.3</v>
      </c>
      <c r="F13" s="11">
        <v>6051.3</v>
      </c>
      <c r="G13" s="11">
        <v>6051.3</v>
      </c>
      <c r="H13" s="11">
        <v>6051.3</v>
      </c>
      <c r="I13" s="11">
        <v>6051.3</v>
      </c>
      <c r="J13" s="11">
        <v>6051.3</v>
      </c>
      <c r="K13" s="11">
        <v>6051.3</v>
      </c>
      <c r="L13" s="11">
        <v>6051.3</v>
      </c>
      <c r="M13" s="11">
        <v>6051.3</v>
      </c>
      <c r="N13" s="11">
        <f t="shared" si="11"/>
        <v>72615.60000000002</v>
      </c>
    </row>
    <row r="14" spans="1:18" ht="20.25" customHeight="1" thickBot="1" x14ac:dyDescent="0.3">
      <c r="A14" s="12" t="s">
        <v>8</v>
      </c>
      <c r="B14" s="13">
        <f>SUM(B15:B20)</f>
        <v>74400.44</v>
      </c>
      <c r="C14" s="13">
        <f t="shared" ref="C14:H14" si="12">SUM(C15:C20)</f>
        <v>81503.499999999985</v>
      </c>
      <c r="D14" s="13">
        <f t="shared" si="12"/>
        <v>81077.539999999994</v>
      </c>
      <c r="E14" s="13">
        <f t="shared" si="12"/>
        <v>74325.140000000014</v>
      </c>
      <c r="F14" s="13">
        <f t="shared" si="12"/>
        <v>92645.87000000001</v>
      </c>
      <c r="G14" s="13">
        <f t="shared" si="12"/>
        <v>64802.33</v>
      </c>
      <c r="H14" s="13">
        <f t="shared" si="12"/>
        <v>89505.4</v>
      </c>
      <c r="I14" s="13">
        <f>SUM(I15:I20)</f>
        <v>72887.31</v>
      </c>
      <c r="J14" s="13">
        <f>SUM(J15:J20)</f>
        <v>92663.3</v>
      </c>
      <c r="K14" s="13">
        <f t="shared" ref="K14:M14" si="13">SUM(K15:K20)</f>
        <v>104388.18</v>
      </c>
      <c r="L14" s="13">
        <f t="shared" si="13"/>
        <v>95102.459999999992</v>
      </c>
      <c r="M14" s="13">
        <f t="shared" si="13"/>
        <v>105496.19</v>
      </c>
      <c r="N14" s="13">
        <f>SUM(B14:M14)</f>
        <v>1028797.6599999999</v>
      </c>
    </row>
    <row r="15" spans="1:18" ht="24" customHeight="1" thickBot="1" x14ac:dyDescent="0.3">
      <c r="A15" s="4" t="s">
        <v>26</v>
      </c>
      <c r="B15" s="11">
        <f>65890.8+1244.23</f>
        <v>67135.03</v>
      </c>
      <c r="C15" s="11">
        <f>69909.58+1383.18</f>
        <v>71292.759999999995</v>
      </c>
      <c r="D15" s="11">
        <f>73399.61+1429.79</f>
        <v>74829.399999999994</v>
      </c>
      <c r="E15" s="11">
        <f>67635.27+1358.02</f>
        <v>68993.290000000008</v>
      </c>
      <c r="F15" s="11">
        <f>83994.33+1705.61+7.54+7.88</f>
        <v>85715.36</v>
      </c>
      <c r="G15" s="11">
        <f>1145.49+58919.79</f>
        <v>60065.279999999999</v>
      </c>
      <c r="H15" s="11">
        <f>80827.78+1928.37+1.89+1.94</f>
        <v>82759.98</v>
      </c>
      <c r="I15" s="11">
        <f>1315.94+65230.43</f>
        <v>66546.37</v>
      </c>
      <c r="J15" s="11">
        <f>73941.83+1506.95</f>
        <v>75448.78</v>
      </c>
      <c r="K15" s="11">
        <f>92337.2+1460.48</f>
        <v>93797.68</v>
      </c>
      <c r="L15" s="11">
        <f>87959.67+1338.92</f>
        <v>89298.59</v>
      </c>
      <c r="M15" s="11">
        <f>1382.2+94103.85</f>
        <v>95486.05</v>
      </c>
      <c r="N15" s="11">
        <f>SUM(B15:M15)</f>
        <v>931368.57</v>
      </c>
    </row>
    <row r="16" spans="1:18" ht="26.25" customHeight="1" thickBot="1" x14ac:dyDescent="0.3">
      <c r="A16" s="4" t="s">
        <v>15</v>
      </c>
      <c r="B16" s="11">
        <v>2143.42</v>
      </c>
      <c r="C16" s="11">
        <v>1656.01</v>
      </c>
      <c r="D16" s="11">
        <v>142.53</v>
      </c>
      <c r="E16" s="11">
        <v>0</v>
      </c>
      <c r="F16" s="11">
        <v>0</v>
      </c>
      <c r="G16" s="11">
        <v>0</v>
      </c>
      <c r="H16" s="11">
        <v>2.11</v>
      </c>
      <c r="I16" s="11">
        <v>0</v>
      </c>
      <c r="J16" s="11">
        <v>109.78</v>
      </c>
      <c r="K16" s="11">
        <v>0</v>
      </c>
      <c r="L16" s="11">
        <v>0</v>
      </c>
      <c r="M16" s="11">
        <v>0</v>
      </c>
      <c r="N16" s="11">
        <f t="shared" ref="N16:N20" si="14">SUM(B16:M16)</f>
        <v>4053.8500000000008</v>
      </c>
    </row>
    <row r="17" spans="1:15" ht="26.25" customHeight="1" thickBot="1" x14ac:dyDescent="0.3">
      <c r="A17" s="4" t="s">
        <v>16</v>
      </c>
      <c r="B17" s="11">
        <v>0</v>
      </c>
      <c r="C17" s="11">
        <v>0</v>
      </c>
      <c r="D17" s="11">
        <v>0</v>
      </c>
      <c r="E17" s="11">
        <v>0</v>
      </c>
      <c r="F17" s="11">
        <v>0.16</v>
      </c>
      <c r="G17" s="11">
        <v>0</v>
      </c>
      <c r="H17" s="11">
        <v>0.03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 t="shared" si="14"/>
        <v>0.19</v>
      </c>
    </row>
    <row r="18" spans="1:15" ht="24" customHeight="1" thickBot="1" x14ac:dyDescent="0.3">
      <c r="A18" s="4" t="s">
        <v>17</v>
      </c>
      <c r="B18" s="11">
        <v>18.48</v>
      </c>
      <c r="C18" s="11">
        <v>2839.51</v>
      </c>
      <c r="D18" s="11">
        <v>221.99</v>
      </c>
      <c r="E18" s="11">
        <v>28.38</v>
      </c>
      <c r="F18" s="11">
        <v>116.96</v>
      </c>
      <c r="G18" s="11">
        <v>1.1599999999999999</v>
      </c>
      <c r="H18" s="11">
        <v>12.14</v>
      </c>
      <c r="I18" s="11">
        <v>703.35</v>
      </c>
      <c r="J18" s="11">
        <v>10955.27</v>
      </c>
      <c r="K18" s="11">
        <v>4559.78</v>
      </c>
      <c r="L18" s="11">
        <v>236.17</v>
      </c>
      <c r="M18" s="11">
        <v>4334.87</v>
      </c>
      <c r="N18" s="11">
        <f t="shared" si="14"/>
        <v>24028.059999999998</v>
      </c>
    </row>
    <row r="19" spans="1:15" ht="24" customHeight="1" thickBot="1" x14ac:dyDescent="0.3">
      <c r="A19" s="4" t="s">
        <v>23</v>
      </c>
      <c r="B19" s="11">
        <v>4.5999999999999996</v>
      </c>
      <c r="C19" s="11">
        <v>2.77</v>
      </c>
      <c r="D19" s="11">
        <v>1.53</v>
      </c>
      <c r="E19" s="11">
        <v>4.4400000000000004</v>
      </c>
      <c r="F19" s="11">
        <v>1.94</v>
      </c>
      <c r="G19" s="11">
        <v>0.09</v>
      </c>
      <c r="H19" s="11">
        <v>0.48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 t="shared" si="14"/>
        <v>15.85</v>
      </c>
    </row>
    <row r="20" spans="1:15" ht="21" customHeight="1" thickBot="1" x14ac:dyDescent="0.3">
      <c r="A20" s="4" t="s">
        <v>27</v>
      </c>
      <c r="B20" s="14">
        <v>5098.91</v>
      </c>
      <c r="C20" s="14">
        <v>5712.45</v>
      </c>
      <c r="D20" s="14">
        <v>5882.09</v>
      </c>
      <c r="E20" s="14">
        <v>5299.03</v>
      </c>
      <c r="F20" s="14">
        <v>6811.45</v>
      </c>
      <c r="G20" s="14">
        <v>4735.8</v>
      </c>
      <c r="H20" s="14">
        <v>6730.66</v>
      </c>
      <c r="I20" s="14">
        <v>5637.59</v>
      </c>
      <c r="J20" s="14">
        <v>6149.47</v>
      </c>
      <c r="K20" s="11">
        <v>6030.72</v>
      </c>
      <c r="L20" s="11">
        <v>5567.7</v>
      </c>
      <c r="M20" s="11">
        <v>5675.27</v>
      </c>
      <c r="N20" s="11">
        <f t="shared" si="14"/>
        <v>69331.14</v>
      </c>
      <c r="O20" s="3"/>
    </row>
    <row r="21" spans="1:15" ht="21.75" customHeight="1" thickBot="1" x14ac:dyDescent="0.3">
      <c r="A21" s="15" t="s">
        <v>22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7"/>
    </row>
    <row r="22" spans="1:15" ht="21.6" customHeight="1" thickBot="1" x14ac:dyDescent="0.3">
      <c r="A22" s="4" t="s">
        <v>1</v>
      </c>
      <c r="B22" s="11">
        <f t="shared" ref="B22:M22" si="15">3406.2*0.6</f>
        <v>2043.7199999999998</v>
      </c>
      <c r="C22" s="11">
        <f t="shared" si="15"/>
        <v>2043.7199999999998</v>
      </c>
      <c r="D22" s="11">
        <f t="shared" si="15"/>
        <v>2043.7199999999998</v>
      </c>
      <c r="E22" s="11">
        <f t="shared" si="15"/>
        <v>2043.7199999999998</v>
      </c>
      <c r="F22" s="11">
        <f t="shared" si="15"/>
        <v>2043.7199999999998</v>
      </c>
      <c r="G22" s="11">
        <f t="shared" si="15"/>
        <v>2043.7199999999998</v>
      </c>
      <c r="H22" s="11">
        <f t="shared" si="15"/>
        <v>2043.7199999999998</v>
      </c>
      <c r="I22" s="11">
        <f t="shared" si="15"/>
        <v>2043.7199999999998</v>
      </c>
      <c r="J22" s="11">
        <f t="shared" si="15"/>
        <v>2043.7199999999998</v>
      </c>
      <c r="K22" s="11">
        <f t="shared" si="15"/>
        <v>2043.7199999999998</v>
      </c>
      <c r="L22" s="11">
        <f t="shared" si="15"/>
        <v>2043.7199999999998</v>
      </c>
      <c r="M22" s="11">
        <f t="shared" si="15"/>
        <v>2043.7199999999998</v>
      </c>
      <c r="N22" s="11">
        <f>SUM(B22:M22)</f>
        <v>24524.639999999999</v>
      </c>
    </row>
    <row r="23" spans="1:15" ht="22.5" customHeight="1" thickBot="1" x14ac:dyDescent="0.3">
      <c r="A23" s="4" t="s">
        <v>2</v>
      </c>
      <c r="B23" s="11">
        <f t="shared" ref="B23" si="16">3406.2*0.17</f>
        <v>579.05399999999997</v>
      </c>
      <c r="C23" s="11">
        <f>3406.2*0.2</f>
        <v>681.24</v>
      </c>
      <c r="D23" s="11">
        <f>3406.2*0.2</f>
        <v>681.24</v>
      </c>
      <c r="E23" s="11">
        <f t="shared" ref="E23:M23" si="17">3406.2*0.2</f>
        <v>681.24</v>
      </c>
      <c r="F23" s="11">
        <f t="shared" si="17"/>
        <v>681.24</v>
      </c>
      <c r="G23" s="11">
        <f t="shared" si="17"/>
        <v>681.24</v>
      </c>
      <c r="H23" s="11">
        <f t="shared" si="17"/>
        <v>681.24</v>
      </c>
      <c r="I23" s="11">
        <f t="shared" si="17"/>
        <v>681.24</v>
      </c>
      <c r="J23" s="11">
        <f t="shared" si="17"/>
        <v>681.24</v>
      </c>
      <c r="K23" s="11">
        <f t="shared" si="17"/>
        <v>681.24</v>
      </c>
      <c r="L23" s="11">
        <f t="shared" si="17"/>
        <v>681.24</v>
      </c>
      <c r="M23" s="11">
        <f t="shared" si="17"/>
        <v>681.24</v>
      </c>
      <c r="N23" s="11">
        <f t="shared" ref="N23:N35" si="18">SUM(B23:M23)</f>
        <v>8072.6939999999986</v>
      </c>
    </row>
    <row r="24" spans="1:15" ht="22.8" customHeight="1" thickBot="1" x14ac:dyDescent="0.3">
      <c r="A24" s="4" t="s">
        <v>3</v>
      </c>
      <c r="B24" s="11">
        <f>85602.86*2.3%</f>
        <v>1968.8657800000001</v>
      </c>
      <c r="C24" s="11">
        <f>80681.2*2.6%</f>
        <v>2097.7112000000002</v>
      </c>
      <c r="D24" s="11">
        <f>80681.2*2.6%</f>
        <v>2097.7112000000002</v>
      </c>
      <c r="E24" s="11">
        <f>80681.2*2.6%</f>
        <v>2097.7112000000002</v>
      </c>
      <c r="F24" s="11">
        <f>80681.2*2.6%</f>
        <v>2097.7112000000002</v>
      </c>
      <c r="G24" s="11">
        <f>81330*2.6%</f>
        <v>2114.5800000000004</v>
      </c>
      <c r="H24" s="11">
        <f>80851.72*2.6%</f>
        <v>2102.1447200000002</v>
      </c>
      <c r="I24" s="11">
        <f>98875.77*2.6%</f>
        <v>2570.7700200000004</v>
      </c>
      <c r="J24" s="11">
        <f>107573.06*2.6%</f>
        <v>2796.8995600000003</v>
      </c>
      <c r="K24" s="11">
        <f>102855.55*2.6%</f>
        <v>2674.2443000000003</v>
      </c>
      <c r="L24" s="11">
        <f>107414.9*2.6%</f>
        <v>2792.7874000000002</v>
      </c>
      <c r="M24" s="11">
        <f>103892.1*2.6%</f>
        <v>2701.1946000000003</v>
      </c>
      <c r="N24" s="11">
        <f t="shared" si="18"/>
        <v>28112.331180000005</v>
      </c>
    </row>
    <row r="25" spans="1:15" ht="23.25" customHeight="1" thickBot="1" x14ac:dyDescent="0.3">
      <c r="A25" s="4" t="s">
        <v>4</v>
      </c>
      <c r="B25" s="11">
        <f>74400.44*3%</f>
        <v>2232.0131999999999</v>
      </c>
      <c r="C25" s="11">
        <f>81503.5*3%</f>
        <v>2445.105</v>
      </c>
      <c r="D25" s="11">
        <f>81077.54*3%</f>
        <v>2432.3261999999995</v>
      </c>
      <c r="E25" s="11">
        <f>74325.14*3%</f>
        <v>2229.7541999999999</v>
      </c>
      <c r="F25" s="11">
        <f>92645.87*3%</f>
        <v>2779.3761</v>
      </c>
      <c r="G25" s="11">
        <f>64802.33*3%</f>
        <v>1944.0699</v>
      </c>
      <c r="H25" s="11">
        <f>89505.4*3%</f>
        <v>2685.1619999999998</v>
      </c>
      <c r="I25" s="11">
        <f>72887.31*3%</f>
        <v>2186.6192999999998</v>
      </c>
      <c r="J25" s="11">
        <f>92663.3*3%</f>
        <v>2779.8989999999999</v>
      </c>
      <c r="K25" s="11">
        <f>104388.18*3%</f>
        <v>3131.6453999999999</v>
      </c>
      <c r="L25" s="11">
        <f>95102.46*3%</f>
        <v>2853.0738000000001</v>
      </c>
      <c r="M25" s="11">
        <f>105496.19*3%</f>
        <v>3164.8856999999998</v>
      </c>
      <c r="N25" s="11">
        <f t="shared" si="18"/>
        <v>30863.929799999998</v>
      </c>
    </row>
    <row r="26" spans="1:15" ht="23.25" customHeight="1" thickBot="1" x14ac:dyDescent="0.3">
      <c r="A26" s="4" t="s">
        <v>9</v>
      </c>
      <c r="B26" s="21">
        <f>3406.2*12</f>
        <v>40874.399999999994</v>
      </c>
      <c r="C26" s="21">
        <f t="shared" ref="C26:M26" si="19">3406.2*12</f>
        <v>40874.399999999994</v>
      </c>
      <c r="D26" s="21">
        <f t="shared" si="19"/>
        <v>40874.399999999994</v>
      </c>
      <c r="E26" s="21">
        <f t="shared" si="19"/>
        <v>40874.399999999994</v>
      </c>
      <c r="F26" s="21">
        <f t="shared" si="19"/>
        <v>40874.399999999994</v>
      </c>
      <c r="G26" s="21">
        <f t="shared" si="19"/>
        <v>40874.399999999994</v>
      </c>
      <c r="H26" s="21">
        <f t="shared" si="19"/>
        <v>40874.399999999994</v>
      </c>
      <c r="I26" s="21">
        <f t="shared" si="19"/>
        <v>40874.399999999994</v>
      </c>
      <c r="J26" s="21">
        <f t="shared" si="19"/>
        <v>40874.399999999994</v>
      </c>
      <c r="K26" s="21">
        <f t="shared" si="19"/>
        <v>40874.399999999994</v>
      </c>
      <c r="L26" s="21">
        <f t="shared" si="19"/>
        <v>40874.399999999994</v>
      </c>
      <c r="M26" s="21">
        <f t="shared" si="19"/>
        <v>40874.399999999994</v>
      </c>
      <c r="N26" s="11">
        <f t="shared" si="18"/>
        <v>490492.80000000005</v>
      </c>
    </row>
    <row r="27" spans="1:15" ht="21.6" customHeight="1" thickBot="1" x14ac:dyDescent="0.3">
      <c r="A27" s="4" t="s">
        <v>18</v>
      </c>
      <c r="B27" s="11">
        <v>0</v>
      </c>
      <c r="C27" s="11">
        <v>0</v>
      </c>
      <c r="D27" s="11">
        <v>0</v>
      </c>
      <c r="E27" s="11">
        <v>0</v>
      </c>
      <c r="F27" s="11">
        <f>580.57+68.29</f>
        <v>648.86</v>
      </c>
      <c r="G27" s="11">
        <f>152.42+17.91</f>
        <v>170.32999999999998</v>
      </c>
      <c r="H27" s="11">
        <f>5199.95+565.91</f>
        <v>5765.86</v>
      </c>
      <c r="I27" s="11">
        <v>0</v>
      </c>
      <c r="J27" s="11">
        <v>0</v>
      </c>
      <c r="K27" s="11">
        <v>0</v>
      </c>
      <c r="L27" s="11">
        <f>934.81+101.72</f>
        <v>1036.53</v>
      </c>
      <c r="M27" s="11">
        <f>1087.94+118.36</f>
        <v>1206.3</v>
      </c>
      <c r="N27" s="11">
        <f t="shared" si="18"/>
        <v>8827.8799999999992</v>
      </c>
    </row>
    <row r="28" spans="1:15" ht="22.8" customHeight="1" thickBot="1" x14ac:dyDescent="0.3">
      <c r="A28" s="4" t="s">
        <v>19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 t="shared" si="18"/>
        <v>0</v>
      </c>
    </row>
    <row r="29" spans="1:15" ht="26.25" customHeight="1" thickBot="1" x14ac:dyDescent="0.3">
      <c r="A29" s="4" t="s">
        <v>20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12428.7</v>
      </c>
      <c r="I29" s="11">
        <v>4717.5</v>
      </c>
      <c r="J29" s="11">
        <v>0</v>
      </c>
      <c r="K29" s="11">
        <v>1902.3</v>
      </c>
      <c r="L29" s="11">
        <v>0</v>
      </c>
      <c r="M29" s="11">
        <v>37357.49</v>
      </c>
      <c r="N29" s="11">
        <f t="shared" si="18"/>
        <v>56405.99</v>
      </c>
    </row>
    <row r="30" spans="1:15" ht="21" customHeight="1" thickBot="1" x14ac:dyDescent="0.3">
      <c r="A30" s="4" t="s">
        <v>23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8"/>
        <v>0</v>
      </c>
    </row>
    <row r="31" spans="1:15" ht="22.5" customHeight="1" thickBot="1" x14ac:dyDescent="0.3">
      <c r="A31" s="4" t="s">
        <v>6</v>
      </c>
      <c r="B31" s="21">
        <f t="shared" ref="B31:I31" si="20">3406.2*3.22</f>
        <v>10967.964</v>
      </c>
      <c r="C31" s="21">
        <f t="shared" si="20"/>
        <v>10967.964</v>
      </c>
      <c r="D31" s="21">
        <f t="shared" si="20"/>
        <v>10967.964</v>
      </c>
      <c r="E31" s="21">
        <f t="shared" si="20"/>
        <v>10967.964</v>
      </c>
      <c r="F31" s="21">
        <f t="shared" si="20"/>
        <v>10967.964</v>
      </c>
      <c r="G31" s="21">
        <f t="shared" si="20"/>
        <v>10967.964</v>
      </c>
      <c r="H31" s="21">
        <f t="shared" si="20"/>
        <v>10967.964</v>
      </c>
      <c r="I31" s="21">
        <f t="shared" si="20"/>
        <v>10967.964</v>
      </c>
      <c r="J31" s="21">
        <f>3406.2*4.2</f>
        <v>14306.039999999999</v>
      </c>
      <c r="K31" s="21">
        <f t="shared" ref="K31:M31" si="21">3406.2*4.2</f>
        <v>14306.039999999999</v>
      </c>
      <c r="L31" s="21">
        <f t="shared" si="21"/>
        <v>14306.039999999999</v>
      </c>
      <c r="M31" s="21">
        <f t="shared" si="21"/>
        <v>14306.039999999999</v>
      </c>
      <c r="N31" s="11">
        <f t="shared" si="18"/>
        <v>144967.87199999997</v>
      </c>
    </row>
    <row r="32" spans="1:15" ht="21" customHeight="1" thickBot="1" x14ac:dyDescent="0.3">
      <c r="A32" s="4" t="s">
        <v>27</v>
      </c>
      <c r="B32" s="11">
        <v>6614.2</v>
      </c>
      <c r="C32" s="11">
        <v>4435.91</v>
      </c>
      <c r="D32" s="11">
        <v>4969.45</v>
      </c>
      <c r="E32" s="11">
        <v>5117.09</v>
      </c>
      <c r="F32" s="11">
        <v>4610.03</v>
      </c>
      <c r="G32" s="11">
        <v>5926.45</v>
      </c>
      <c r="H32" s="11">
        <v>4119.8</v>
      </c>
      <c r="I32" s="11">
        <v>5855.66</v>
      </c>
      <c r="J32" s="11">
        <v>4904.59</v>
      </c>
      <c r="K32" s="11">
        <v>5350.47</v>
      </c>
      <c r="L32" s="11">
        <v>5246.72</v>
      </c>
      <c r="M32" s="11">
        <v>4843.7</v>
      </c>
      <c r="N32" s="11">
        <f t="shared" si="18"/>
        <v>61994.069999999992</v>
      </c>
    </row>
    <row r="33" spans="1:14" ht="21" customHeight="1" thickBot="1" x14ac:dyDescent="0.3">
      <c r="A33" s="4" t="s">
        <v>28</v>
      </c>
      <c r="B33" s="11">
        <v>988</v>
      </c>
      <c r="C33" s="11">
        <v>663</v>
      </c>
      <c r="D33" s="11">
        <v>743</v>
      </c>
      <c r="E33" s="11">
        <v>765</v>
      </c>
      <c r="F33" s="11">
        <v>689</v>
      </c>
      <c r="G33" s="11">
        <v>885</v>
      </c>
      <c r="H33" s="11">
        <v>616</v>
      </c>
      <c r="I33" s="11">
        <v>875</v>
      </c>
      <c r="J33" s="11">
        <v>733</v>
      </c>
      <c r="K33" s="11">
        <v>799</v>
      </c>
      <c r="L33" s="11">
        <v>784</v>
      </c>
      <c r="M33" s="11">
        <v>724</v>
      </c>
      <c r="N33" s="11">
        <f t="shared" si="18"/>
        <v>9264</v>
      </c>
    </row>
    <row r="34" spans="1:14" ht="22.2" customHeight="1" thickBot="1" x14ac:dyDescent="0.3">
      <c r="A34" s="4" t="s">
        <v>24</v>
      </c>
      <c r="B34" s="11">
        <f>1000+500</f>
        <v>1500</v>
      </c>
      <c r="C34" s="11">
        <f t="shared" ref="C34:M34" si="22">1000+500</f>
        <v>1500</v>
      </c>
      <c r="D34" s="11">
        <f t="shared" si="22"/>
        <v>1500</v>
      </c>
      <c r="E34" s="11">
        <f t="shared" si="22"/>
        <v>1500</v>
      </c>
      <c r="F34" s="11">
        <f t="shared" si="22"/>
        <v>1500</v>
      </c>
      <c r="G34" s="11">
        <f t="shared" si="22"/>
        <v>1500</v>
      </c>
      <c r="H34" s="11">
        <f t="shared" si="22"/>
        <v>1500</v>
      </c>
      <c r="I34" s="11">
        <f t="shared" si="22"/>
        <v>1500</v>
      </c>
      <c r="J34" s="11">
        <f t="shared" si="22"/>
        <v>1500</v>
      </c>
      <c r="K34" s="11">
        <f t="shared" si="22"/>
        <v>1500</v>
      </c>
      <c r="L34" s="11">
        <f t="shared" si="22"/>
        <v>1500</v>
      </c>
      <c r="M34" s="11">
        <f t="shared" si="22"/>
        <v>1500</v>
      </c>
      <c r="N34" s="11">
        <f t="shared" si="18"/>
        <v>18000</v>
      </c>
    </row>
    <row r="35" spans="1:14" ht="21" customHeight="1" thickBot="1" x14ac:dyDescent="0.3">
      <c r="A35" s="4" t="s">
        <v>10</v>
      </c>
      <c r="B35" s="11">
        <v>0</v>
      </c>
      <c r="C35" s="11">
        <v>0</v>
      </c>
      <c r="D35" s="11">
        <v>0</v>
      </c>
      <c r="E35" s="11">
        <f>10979.5</f>
        <v>10979.5</v>
      </c>
      <c r="F35" s="11">
        <f>5001.6+550+2780</f>
        <v>8331.6</v>
      </c>
      <c r="G35" s="11">
        <f>11158.6+1957.6</f>
        <v>13116.2</v>
      </c>
      <c r="H35" s="11">
        <f>224727.54+23595</f>
        <v>248322.54</v>
      </c>
      <c r="I35" s="11">
        <v>0</v>
      </c>
      <c r="J35" s="11">
        <f>3281</f>
        <v>3281</v>
      </c>
      <c r="K35" s="11">
        <f>6175+650+700.8+10205</f>
        <v>17730.8</v>
      </c>
      <c r="L35" s="11">
        <f>13000</f>
        <v>13000</v>
      </c>
      <c r="M35" s="11">
        <f>10502+3121.3</f>
        <v>13623.3</v>
      </c>
      <c r="N35" s="11">
        <f t="shared" si="18"/>
        <v>328384.94</v>
      </c>
    </row>
    <row r="36" spans="1:14" ht="22.5" customHeight="1" thickBot="1" x14ac:dyDescent="0.3">
      <c r="A36" s="9" t="s">
        <v>21</v>
      </c>
      <c r="B36" s="10">
        <f t="shared" ref="B36:M36" si="23">SUM(B22:B35)</f>
        <v>67768.216979999997</v>
      </c>
      <c r="C36" s="10">
        <f t="shared" si="23"/>
        <v>65709.050199999998</v>
      </c>
      <c r="D36" s="10">
        <f t="shared" si="23"/>
        <v>66309.811399999991</v>
      </c>
      <c r="E36" s="10">
        <f t="shared" si="23"/>
        <v>77256.379399999991</v>
      </c>
      <c r="F36" s="10">
        <f t="shared" si="23"/>
        <v>75223.901299999998</v>
      </c>
      <c r="G36" s="10">
        <f t="shared" si="23"/>
        <v>80223.953899999993</v>
      </c>
      <c r="H36" s="10">
        <f t="shared" si="23"/>
        <v>332107.53071999998</v>
      </c>
      <c r="I36" s="10">
        <f t="shared" si="23"/>
        <v>72272.873319999999</v>
      </c>
      <c r="J36" s="10">
        <f t="shared" si="23"/>
        <v>73900.788560000001</v>
      </c>
      <c r="K36" s="10">
        <f t="shared" si="23"/>
        <v>90993.859700000001</v>
      </c>
      <c r="L36" s="10">
        <f t="shared" si="23"/>
        <v>85118.511199999994</v>
      </c>
      <c r="M36" s="10">
        <f t="shared" si="23"/>
        <v>123026.27029999999</v>
      </c>
      <c r="N36" s="10">
        <f>SUM(B36:M36)</f>
        <v>1209911.14698</v>
      </c>
    </row>
    <row r="37" spans="1:14" ht="23.25" customHeight="1" thickBot="1" x14ac:dyDescent="0.3">
      <c r="A37" s="4" t="s">
        <v>5</v>
      </c>
      <c r="B37" s="18">
        <f t="shared" ref="B37:N37" si="24">B14-B36</f>
        <v>6632.2230200000049</v>
      </c>
      <c r="C37" s="18">
        <f t="shared" si="24"/>
        <v>15794.449799999988</v>
      </c>
      <c r="D37" s="18">
        <f t="shared" si="24"/>
        <v>14767.728600000002</v>
      </c>
      <c r="E37" s="18">
        <f t="shared" si="24"/>
        <v>-2931.2393999999767</v>
      </c>
      <c r="F37" s="18">
        <f t="shared" si="24"/>
        <v>17421.968700000012</v>
      </c>
      <c r="G37" s="18">
        <f t="shared" si="24"/>
        <v>-15421.623899999991</v>
      </c>
      <c r="H37" s="18">
        <f t="shared" si="24"/>
        <v>-242602.13071999999</v>
      </c>
      <c r="I37" s="18">
        <f t="shared" si="24"/>
        <v>614.43667999999889</v>
      </c>
      <c r="J37" s="18">
        <f t="shared" si="24"/>
        <v>18762.511440000002</v>
      </c>
      <c r="K37" s="18">
        <f t="shared" si="24"/>
        <v>13394.320299999992</v>
      </c>
      <c r="L37" s="18">
        <f t="shared" si="24"/>
        <v>9983.9487999999983</v>
      </c>
      <c r="M37" s="18">
        <f t="shared" si="24"/>
        <v>-17530.080299999987</v>
      </c>
      <c r="N37" s="18">
        <f t="shared" si="24"/>
        <v>-181113.48698000005</v>
      </c>
    </row>
    <row r="38" spans="1:14" ht="23.25" customHeight="1" thickBot="1" x14ac:dyDescent="0.3">
      <c r="A38" s="4" t="s">
        <v>7</v>
      </c>
      <c r="B38" s="19">
        <f t="shared" ref="B38:N38" si="25">B5+B37</f>
        <v>-209377.26697999999</v>
      </c>
      <c r="C38" s="19">
        <f t="shared" si="25"/>
        <v>-193582.81718000001</v>
      </c>
      <c r="D38" s="19">
        <f t="shared" si="25"/>
        <v>-178815.08858000001</v>
      </c>
      <c r="E38" s="19">
        <f t="shared" si="25"/>
        <v>-181746.32798</v>
      </c>
      <c r="F38" s="19">
        <f t="shared" si="25"/>
        <v>-164324.35927999998</v>
      </c>
      <c r="G38" s="19">
        <f t="shared" si="25"/>
        <v>-179745.98317999998</v>
      </c>
      <c r="H38" s="19">
        <f t="shared" si="25"/>
        <v>-422348.1139</v>
      </c>
      <c r="I38" s="19">
        <f t="shared" si="25"/>
        <v>-421733.67722000001</v>
      </c>
      <c r="J38" s="19">
        <f t="shared" si="25"/>
        <v>-402971.16578000004</v>
      </c>
      <c r="K38" s="19">
        <f t="shared" si="25"/>
        <v>-389576.84548000002</v>
      </c>
      <c r="L38" s="19">
        <f t="shared" si="25"/>
        <v>-379592.89668000001</v>
      </c>
      <c r="M38" s="19">
        <f t="shared" si="25"/>
        <v>-397122.97697999998</v>
      </c>
      <c r="N38" s="19">
        <f t="shared" si="25"/>
        <v>-397122.97698000004</v>
      </c>
    </row>
    <row r="39" spans="1:14" ht="23.25" customHeight="1" thickBot="1" x14ac:dyDescent="0.3">
      <c r="A39" s="4" t="s">
        <v>42</v>
      </c>
      <c r="B39" s="11">
        <v>0</v>
      </c>
      <c r="C39" s="11">
        <v>0</v>
      </c>
      <c r="D39" s="11">
        <v>9502.0400000000009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SUM(B39:M39)</f>
        <v>9502.0400000000009</v>
      </c>
    </row>
    <row r="40" spans="1:14" ht="27" customHeight="1" thickBot="1" x14ac:dyDescent="0.3">
      <c r="A40" s="15" t="s">
        <v>11</v>
      </c>
      <c r="B40" s="20">
        <f>B6+B14-B7</f>
        <v>-155478.49</v>
      </c>
      <c r="C40" s="20">
        <f t="shared" ref="C40" si="26">C6+C14-C7</f>
        <v>-154656.19</v>
      </c>
      <c r="D40" s="20">
        <f>D6+D14-D7+D39</f>
        <v>-144757.81</v>
      </c>
      <c r="E40" s="20">
        <f t="shared" ref="E40:N40" si="27">E6+E14-E7+E39</f>
        <v>-151113.87</v>
      </c>
      <c r="F40" s="20">
        <f t="shared" si="27"/>
        <v>-139149.19999999998</v>
      </c>
      <c r="G40" s="20">
        <f t="shared" si="27"/>
        <v>-155676.87</v>
      </c>
      <c r="H40" s="20">
        <f t="shared" si="27"/>
        <v>-147023.19</v>
      </c>
      <c r="I40" s="20">
        <f t="shared" si="27"/>
        <v>-173011.65000000002</v>
      </c>
      <c r="J40" s="20">
        <f t="shared" si="27"/>
        <v>-187921.41000000003</v>
      </c>
      <c r="K40" s="20">
        <f t="shared" si="27"/>
        <v>-186388.78000000003</v>
      </c>
      <c r="L40" s="20">
        <f t="shared" si="27"/>
        <v>-198701.22000000003</v>
      </c>
      <c r="M40" s="20">
        <f t="shared" si="27"/>
        <v>-197097.13000000003</v>
      </c>
      <c r="N40" s="20">
        <f t="shared" si="27"/>
        <v>-197097.13000000015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2026-02-12T08:34:41Z</cp:lastPrinted>
  <dcterms:created xsi:type="dcterms:W3CDTF">2011-06-06T03:25:48Z</dcterms:created>
  <dcterms:modified xsi:type="dcterms:W3CDTF">2026-02-12T08:40:26Z</dcterms:modified>
</cp:coreProperties>
</file>