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1" i="1" l="1"/>
  <c r="M20" i="1"/>
  <c r="M10" i="1"/>
  <c r="M13" i="1"/>
  <c r="M12" i="1"/>
  <c r="M17" i="1"/>
  <c r="M9" i="1"/>
  <c r="L18" i="1"/>
  <c r="L21" i="1"/>
  <c r="L20" i="1"/>
  <c r="L13" i="1" l="1"/>
  <c r="L12" i="1"/>
  <c r="L17" i="1"/>
  <c r="L9" i="1"/>
  <c r="K18" i="1"/>
  <c r="K21" i="1"/>
  <c r="K20" i="1"/>
  <c r="K10" i="1"/>
  <c r="K13" i="1"/>
  <c r="K17" i="1"/>
  <c r="K9" i="1"/>
  <c r="M36" i="1" l="1"/>
  <c r="L36" i="1" l="1"/>
  <c r="M32" i="1" l="1"/>
  <c r="L32" i="1"/>
  <c r="K32" i="1"/>
  <c r="M29" i="1"/>
  <c r="L29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28" i="1" l="1"/>
  <c r="L28" i="1"/>
  <c r="M28" i="1"/>
  <c r="K25" i="1"/>
  <c r="L25" i="1"/>
  <c r="M25" i="1"/>
  <c r="K24" i="1"/>
  <c r="L24" i="1"/>
  <c r="M24" i="1"/>
  <c r="J21" i="1" l="1"/>
  <c r="J10" i="1"/>
  <c r="J13" i="1"/>
  <c r="J12" i="1"/>
  <c r="J9" i="1"/>
  <c r="I18" i="1"/>
  <c r="I21" i="1"/>
  <c r="I20" i="1"/>
  <c r="I13" i="1"/>
  <c r="I17" i="1"/>
  <c r="I9" i="1"/>
  <c r="H18" i="1"/>
  <c r="H21" i="1"/>
  <c r="H10" i="1"/>
  <c r="H13" i="1"/>
  <c r="H12" i="1"/>
  <c r="H17" i="1"/>
  <c r="H9" i="1"/>
  <c r="J36" i="1" l="1"/>
  <c r="J32" i="1" l="1"/>
  <c r="I32" i="1"/>
  <c r="J29" i="1" l="1"/>
  <c r="I29" i="1"/>
  <c r="I36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18" i="1" l="1"/>
  <c r="G21" i="1"/>
  <c r="G20" i="1"/>
  <c r="G10" i="1"/>
  <c r="G13" i="1"/>
  <c r="G17" i="1"/>
  <c r="G9" i="1"/>
  <c r="F18" i="1"/>
  <c r="F21" i="1"/>
  <c r="F20" i="1"/>
  <c r="F10" i="1"/>
  <c r="F13" i="1"/>
  <c r="F12" i="1"/>
  <c r="F17" i="1"/>
  <c r="F9" i="1"/>
  <c r="E18" i="1"/>
  <c r="E20" i="1"/>
  <c r="E21" i="1"/>
  <c r="E10" i="1"/>
  <c r="E12" i="1"/>
  <c r="E13" i="1"/>
  <c r="E17" i="1"/>
  <c r="E9" i="1"/>
  <c r="G29" i="1" l="1"/>
  <c r="F29" i="1"/>
  <c r="E29" i="1"/>
  <c r="F36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H33" i="1"/>
  <c r="I33" i="1"/>
  <c r="J33" i="1"/>
  <c r="K33" i="1"/>
  <c r="L33" i="1"/>
  <c r="M33" i="1"/>
  <c r="E28" i="1"/>
  <c r="F28" i="1"/>
  <c r="G28" i="1"/>
  <c r="E25" i="1"/>
  <c r="F25" i="1"/>
  <c r="G25" i="1"/>
  <c r="E24" i="1"/>
  <c r="F24" i="1"/>
  <c r="G24" i="1"/>
  <c r="D18" i="1" l="1"/>
  <c r="D21" i="1"/>
  <c r="D10" i="1"/>
  <c r="D12" i="1"/>
  <c r="D13" i="1"/>
  <c r="D17" i="1"/>
  <c r="D9" i="1"/>
  <c r="C18" i="1"/>
  <c r="C20" i="1"/>
  <c r="C21" i="1"/>
  <c r="C10" i="1"/>
  <c r="C13" i="1"/>
  <c r="C17" i="1"/>
  <c r="C9" i="1"/>
  <c r="B18" i="1"/>
  <c r="B20" i="1"/>
  <c r="B21" i="1"/>
  <c r="B10" i="1"/>
  <c r="B12" i="1"/>
  <c r="B13" i="1"/>
  <c r="B17" i="1"/>
  <c r="B9" i="1"/>
  <c r="D36" i="1" l="1"/>
  <c r="D29" i="1" l="1"/>
  <c r="C29" i="1"/>
  <c r="B29" i="1"/>
  <c r="D27" i="1" l="1"/>
  <c r="D16" i="1"/>
  <c r="D26" i="1"/>
  <c r="D8" i="1"/>
  <c r="C27" i="1" l="1"/>
  <c r="C16" i="1"/>
  <c r="C26" i="1"/>
  <c r="C8" i="1"/>
  <c r="B27" i="1" l="1"/>
  <c r="B16" i="1"/>
  <c r="B26" i="1"/>
  <c r="B8" i="1" l="1"/>
  <c r="C33" i="1"/>
  <c r="D33" i="1"/>
  <c r="C28" i="1"/>
  <c r="D28" i="1"/>
  <c r="C25" i="1"/>
  <c r="D25" i="1"/>
  <c r="C24" i="1"/>
  <c r="D24" i="1"/>
  <c r="B33" i="1" l="1"/>
  <c r="B28" i="1"/>
  <c r="B25" i="1"/>
  <c r="B24" i="1"/>
  <c r="N6" i="1" l="1"/>
  <c r="N5" i="1"/>
  <c r="N22" i="1"/>
  <c r="N17" i="1"/>
  <c r="N14" i="1"/>
  <c r="N9" i="1"/>
  <c r="M7" i="1" l="1"/>
  <c r="L7" i="1"/>
  <c r="K15" i="1"/>
  <c r="K7" i="1"/>
  <c r="N24" i="1"/>
  <c r="N25" i="1"/>
  <c r="N28" i="1"/>
  <c r="N29" i="1"/>
  <c r="N30" i="1"/>
  <c r="N31" i="1"/>
  <c r="N32" i="1"/>
  <c r="N33" i="1"/>
  <c r="N34" i="1"/>
  <c r="N35" i="1"/>
  <c r="L15" i="1"/>
  <c r="M15" i="1"/>
  <c r="N11" i="1"/>
  <c r="N12" i="1"/>
  <c r="N10" i="1"/>
  <c r="M37" i="1" l="1"/>
  <c r="M38" i="1" s="1"/>
  <c r="L37" i="1"/>
  <c r="L38" i="1" s="1"/>
  <c r="K37" i="1"/>
  <c r="K38" i="1" s="1"/>
  <c r="N13" i="1"/>
  <c r="I15" i="1" l="1"/>
  <c r="H15" i="1"/>
  <c r="J15" i="1" l="1"/>
  <c r="H7" i="1"/>
  <c r="I7" i="1"/>
  <c r="J7" i="1"/>
  <c r="N36" i="1"/>
  <c r="N27" i="1"/>
  <c r="G7" i="1"/>
  <c r="F7" i="1"/>
  <c r="N21" i="1"/>
  <c r="N20" i="1"/>
  <c r="D15" i="1"/>
  <c r="D7" i="1"/>
  <c r="C15" i="1"/>
  <c r="C7" i="1"/>
  <c r="B15" i="1"/>
  <c r="B7" i="1"/>
  <c r="J37" i="1" l="1"/>
  <c r="J38" i="1" s="1"/>
  <c r="D37" i="1"/>
  <c r="D38" i="1" s="1"/>
  <c r="C37" i="1"/>
  <c r="C38" i="1" s="1"/>
  <c r="N18" i="1"/>
  <c r="N16" i="1"/>
  <c r="E7" i="1"/>
  <c r="N7" i="1" s="1"/>
  <c r="N8" i="1"/>
  <c r="N19" i="1"/>
  <c r="G15" i="1"/>
  <c r="N26" i="1"/>
  <c r="F15" i="1"/>
  <c r="I37" i="1"/>
  <c r="I38" i="1" s="1"/>
  <c r="H37" i="1"/>
  <c r="E15" i="1"/>
  <c r="B41" i="1"/>
  <c r="C6" i="1" s="1"/>
  <c r="C41" i="1" s="1"/>
  <c r="D6" i="1" s="1"/>
  <c r="D41" i="1" s="1"/>
  <c r="G37" i="1" l="1"/>
  <c r="G38" i="1" s="1"/>
  <c r="E6" i="1"/>
  <c r="E41" i="1" s="1"/>
  <c r="F6" i="1" s="1"/>
  <c r="F41" i="1" s="1"/>
  <c r="G6" i="1" s="1"/>
  <c r="N15" i="1"/>
  <c r="N41" i="1" s="1"/>
  <c r="H38" i="1"/>
  <c r="F37" i="1"/>
  <c r="F38" i="1" s="1"/>
  <c r="B37" i="1"/>
  <c r="B38" i="1" s="1"/>
  <c r="B39" i="1" s="1"/>
  <c r="G41" i="1" l="1"/>
  <c r="H6" i="1" s="1"/>
  <c r="H41" i="1" s="1"/>
  <c r="I6" i="1" s="1"/>
  <c r="I41" i="1" s="1"/>
  <c r="J6" i="1" s="1"/>
  <c r="C5" i="1"/>
  <c r="C39" i="1"/>
  <c r="D39" i="1" s="1"/>
  <c r="E37" i="1"/>
  <c r="N37" i="1" s="1"/>
  <c r="N43" i="1"/>
  <c r="J41" i="1" l="1"/>
  <c r="K6" i="1" s="1"/>
  <c r="K41" i="1" s="1"/>
  <c r="L6" i="1" s="1"/>
  <c r="L41" i="1" s="1"/>
  <c r="E5" i="1"/>
  <c r="D5" i="1"/>
  <c r="E38" i="1"/>
  <c r="N38" i="1"/>
  <c r="N39" i="1" s="1"/>
  <c r="M6" i="1" l="1"/>
  <c r="M41" i="1" s="1"/>
  <c r="E39" i="1"/>
  <c r="F39" i="1" s="1"/>
  <c r="G39" i="1" s="1"/>
  <c r="G5" i="1" l="1"/>
  <c r="F5" i="1"/>
  <c r="H5" i="1"/>
  <c r="H39" i="1"/>
  <c r="I39" i="1" l="1"/>
  <c r="J39" i="1" s="1"/>
  <c r="I5" i="1"/>
  <c r="J5" i="1" l="1"/>
  <c r="K5" i="1" l="1"/>
  <c r="K39" i="1"/>
  <c r="L5" i="1" l="1"/>
  <c r="L39" i="1"/>
  <c r="M5" i="1" l="1"/>
  <c r="M39" i="1"/>
</calcChain>
</file>

<file path=xl/sharedStrings.xml><?xml version="1.0" encoding="utf-8"?>
<sst xmlns="http://schemas.openxmlformats.org/spreadsheetml/2006/main" count="54" uniqueCount="46">
  <si>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</si>
  <si>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</si>
  <si>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</si>
  <si>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</si>
  <si>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</si>
  <si>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</si>
  <si>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</si>
  <si>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</si>
  <si>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</si>
  <si>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</si>
  <si>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</si>
  <si>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</si>
  <si>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</si>
  <si>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</si>
  <si>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</si>
  <si>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</si>
  <si>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</si>
  <si>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</si>
  <si>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</si>
  <si>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</si>
  <si>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</si>
  <si>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</si>
  <si>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</si>
  <si>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</si>
  <si>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</si>
  <si>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</si>
  <si>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</si>
  <si>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</si>
  <si>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Корректировка задолженности по решению Арбитражного суда за предыдущие периоды</t>
  </si>
  <si>
    <t>Содержание жилья и текущий ремонт,  ОПУ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</si>
  <si>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</si>
  <si>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</si>
  <si>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</si>
  <si>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</si>
  <si>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</si>
  <si>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</si>
  <si>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</si>
  <si>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</si>
  <si>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</si>
  <si>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</si>
  <si>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</si>
  <si>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</si>
  <si>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</t>
  </si>
  <si>
    <t>Всего:                       за  2024г</t>
  </si>
  <si>
    <t xml:space="preserve">                 ОТЧЕТ по дому Васильева, 65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</si>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</sst>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[$-419]mmmm\ yyyy;@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5" fontId="7" fillId="0" borderId="2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5" zoomScale="75" workbookViewId="0">
      <selection activeCell="F12" sqref="F12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4" width="15.109375" customWidth="1"/>
    <col min="5" max="5" width="15.44140625" customWidth="1"/>
    <col min="6" max="7" width="13.6640625" customWidth="1"/>
    <col min="8" max="8" width="14.109375" customWidth="1"/>
    <col min="9" max="9" width="13.88671875" customWidth="1"/>
    <col min="10" max="13" width="14.109375" customWidth="1"/>
    <col min="14" max="14" width="16.33203125" customWidth="1"/>
  </cols>
  <sheetData>
    <row r="1" spans="1:18" ht="20.25" customHeight="1" x14ac:dyDescent="0.35">
      <c r="A1" s="25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21" t="s">
        <v>40</v>
      </c>
      <c r="L4" s="21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-562023.6</v>
      </c>
      <c r="C5" s="8">
        <f t="shared" ref="C5:D5" si="0">B39</f>
        <v>-553913.02241999994</v>
      </c>
      <c r="D5" s="8">
        <f t="shared" si="0"/>
        <v>-551389.6563899999</v>
      </c>
      <c r="E5" s="8">
        <f t="shared" ref="E5:J5" si="1">D39</f>
        <v>-559063.98737999995</v>
      </c>
      <c r="F5" s="8">
        <f t="shared" si="1"/>
        <v>-550616.88449999993</v>
      </c>
      <c r="G5" s="8">
        <f t="shared" si="1"/>
        <v>-559913.93270999996</v>
      </c>
      <c r="H5" s="8">
        <f t="shared" si="1"/>
        <v>-548219.29128</v>
      </c>
      <c r="I5" s="8">
        <f t="shared" si="1"/>
        <v>-543972.65410000004</v>
      </c>
      <c r="J5" s="8">
        <f t="shared" si="1"/>
        <v>-573812.33726000006</v>
      </c>
      <c r="K5" s="8">
        <f t="shared" ref="K5" si="2">J39</f>
        <v>-672987.32096000004</v>
      </c>
      <c r="L5" s="8">
        <f t="shared" ref="L5" si="3">K39</f>
        <v>-664256.75124000001</v>
      </c>
      <c r="M5" s="8">
        <f t="shared" ref="M5" si="4">L39</f>
        <v>-666759.47918999998</v>
      </c>
      <c r="N5" s="8">
        <f>B5</f>
        <v>-562023.6</v>
      </c>
    </row>
    <row r="6" spans="1:18" ht="21" customHeight="1" thickBot="1" x14ac:dyDescent="0.3">
      <c r="A6" s="7" t="s">
        <v>13</v>
      </c>
      <c r="B6" s="8">
        <v>-208359.34</v>
      </c>
      <c r="C6" s="8">
        <f t="shared" ref="C6:M6" si="5">B41</f>
        <v>-220112.02999999997</v>
      </c>
      <c r="D6" s="8">
        <f t="shared" si="5"/>
        <v>-227805.54999999996</v>
      </c>
      <c r="E6" s="8">
        <f t="shared" si="5"/>
        <v>-235881.82999999996</v>
      </c>
      <c r="F6" s="8">
        <f t="shared" si="5"/>
        <v>-239139.33999999997</v>
      </c>
      <c r="G6" s="8">
        <f t="shared" si="5"/>
        <v>-252140.74999999997</v>
      </c>
      <c r="H6" s="8">
        <f t="shared" si="5"/>
        <v>-254054.39999999997</v>
      </c>
      <c r="I6" s="8">
        <f t="shared" si="5"/>
        <v>-268107.88999999996</v>
      </c>
      <c r="J6" s="8">
        <f t="shared" si="5"/>
        <v>-270407.84999999998</v>
      </c>
      <c r="K6" s="8">
        <f t="shared" si="5"/>
        <v>-284044.44999999995</v>
      </c>
      <c r="L6" s="8">
        <f t="shared" si="5"/>
        <v>-291037.54999999993</v>
      </c>
      <c r="M6" s="8">
        <f t="shared" si="5"/>
        <v>-264733.73</v>
      </c>
      <c r="N6" s="8">
        <f>B6</f>
        <v>-208359.34</v>
      </c>
    </row>
    <row r="7" spans="1:18" ht="20.25" customHeight="1" thickBot="1" x14ac:dyDescent="0.3">
      <c r="A7" s="9" t="s">
        <v>12</v>
      </c>
      <c r="B7" s="10">
        <f t="shared" ref="B7:G7" si="6">SUM(B8:B14)</f>
        <v>61253.539999999994</v>
      </c>
      <c r="C7" s="10">
        <f t="shared" si="6"/>
        <v>56290.299999999996</v>
      </c>
      <c r="D7" s="10">
        <f t="shared" si="6"/>
        <v>61100.11</v>
      </c>
      <c r="E7" s="10">
        <f t="shared" si="6"/>
        <v>57476.23</v>
      </c>
      <c r="F7" s="10">
        <f t="shared" si="6"/>
        <v>60603.54</v>
      </c>
      <c r="G7" s="10">
        <f t="shared" si="6"/>
        <v>55853.46</v>
      </c>
      <c r="H7" s="10">
        <f t="shared" ref="H7" si="7">SUM(H8:H14)</f>
        <v>57176.82</v>
      </c>
      <c r="I7" s="10">
        <f t="shared" ref="I7" si="8">SUM(I8:I14)</f>
        <v>54406.91</v>
      </c>
      <c r="J7" s="10">
        <f t="shared" ref="J7:M7" si="9">SUM(J8:J14)</f>
        <v>62185.91</v>
      </c>
      <c r="K7" s="10">
        <f>SUM(K8:K14)</f>
        <v>61519.89</v>
      </c>
      <c r="L7" s="10">
        <f t="shared" si="9"/>
        <v>60269.03</v>
      </c>
      <c r="M7" s="10">
        <f t="shared" si="9"/>
        <v>63722.29</v>
      </c>
      <c r="N7" s="10">
        <f>SUM(B7:M7)</f>
        <v>711858.03000000014</v>
      </c>
    </row>
    <row r="8" spans="1:18" ht="24.75" customHeight="1" thickBot="1" x14ac:dyDescent="0.3">
      <c r="A8" s="4" t="s">
        <v>29</v>
      </c>
      <c r="B8" s="11">
        <f t="shared" ref="B8:G8" si="10">46438.89+1208.15</f>
        <v>47647.040000000001</v>
      </c>
      <c r="C8" s="11">
        <f t="shared" si="10"/>
        <v>47647.040000000001</v>
      </c>
      <c r="D8" s="11">
        <f t="shared" si="10"/>
        <v>47647.040000000001</v>
      </c>
      <c r="E8" s="11">
        <f t="shared" si="10"/>
        <v>47647.040000000001</v>
      </c>
      <c r="F8" s="11">
        <f t="shared" si="10"/>
        <v>47647.040000000001</v>
      </c>
      <c r="G8" s="11">
        <f t="shared" si="10"/>
        <v>47647.040000000001</v>
      </c>
      <c r="H8" s="11">
        <f t="shared" ref="H8:M8" si="11">46438.89+1208.15</f>
        <v>47647.040000000001</v>
      </c>
      <c r="I8" s="11">
        <f t="shared" si="11"/>
        <v>47647.040000000001</v>
      </c>
      <c r="J8" s="11">
        <f t="shared" si="11"/>
        <v>47647.040000000001</v>
      </c>
      <c r="K8" s="11">
        <f t="shared" si="11"/>
        <v>47647.040000000001</v>
      </c>
      <c r="L8" s="11">
        <f t="shared" si="11"/>
        <v>47647.040000000001</v>
      </c>
      <c r="M8" s="11">
        <f t="shared" si="11"/>
        <v>47647.040000000001</v>
      </c>
      <c r="N8" s="11">
        <f>SUM(B8:M8)</f>
        <v>571764.47999999986</v>
      </c>
    </row>
    <row r="9" spans="1:18" ht="22.95" customHeight="1" thickBot="1" x14ac:dyDescent="0.3">
      <c r="A9" s="4" t="s">
        <v>17</v>
      </c>
      <c r="B9" s="11">
        <f t="shared" ref="B9:G9" si="12">2767.18+1719.67</f>
        <v>4486.8500000000004</v>
      </c>
      <c r="C9" s="11">
        <f t="shared" si="12"/>
        <v>4486.8500000000004</v>
      </c>
      <c r="D9" s="11">
        <f t="shared" si="12"/>
        <v>4486.8500000000004</v>
      </c>
      <c r="E9" s="11">
        <f t="shared" si="12"/>
        <v>4486.8500000000004</v>
      </c>
      <c r="F9" s="11">
        <f t="shared" si="12"/>
        <v>4486.8500000000004</v>
      </c>
      <c r="G9" s="11">
        <f t="shared" si="12"/>
        <v>4486.8500000000004</v>
      </c>
      <c r="H9" s="11">
        <f>2767.18+1719.67</f>
        <v>4486.8500000000004</v>
      </c>
      <c r="I9" s="11">
        <f>2767.18+1719.67</f>
        <v>4486.8500000000004</v>
      </c>
      <c r="J9" s="11">
        <f>2767.18+1719.67</f>
        <v>4486.8500000000004</v>
      </c>
      <c r="K9" s="11">
        <f>2767.18+1719.67</f>
        <v>4486.8500000000004</v>
      </c>
      <c r="L9" s="11">
        <f>2767.18+1719.67</f>
        <v>4486.8500000000004</v>
      </c>
      <c r="M9" s="11">
        <f>2767.18+1719.67</f>
        <v>4486.8500000000004</v>
      </c>
      <c r="N9" s="11">
        <f>SUM(B9:M9)</f>
        <v>53842.19999999999</v>
      </c>
    </row>
    <row r="10" spans="1:18" ht="24.75" customHeight="1" thickBot="1" x14ac:dyDescent="0.3">
      <c r="A10" s="4" t="s">
        <v>18</v>
      </c>
      <c r="B10" s="11">
        <f>4110.34+244.21+152.66</f>
        <v>4507.21</v>
      </c>
      <c r="C10" s="11">
        <f>1904.85+114.16+70.55</f>
        <v>2089.56</v>
      </c>
      <c r="D10" s="11">
        <f>2802.18+167.62+104.17</f>
        <v>3073.97</v>
      </c>
      <c r="E10" s="11">
        <f>1894.33+112.71+70.04</f>
        <v>2077.08</v>
      </c>
      <c r="F10" s="11">
        <f>4782.42+284.67+176.91</f>
        <v>5244</v>
      </c>
      <c r="G10" s="11">
        <f>1507.44+89.59+55.68</f>
        <v>1652.71</v>
      </c>
      <c r="H10" s="11">
        <f>1487.86+88.15+54.78</f>
        <v>1630.79</v>
      </c>
      <c r="I10" s="11">
        <v>0</v>
      </c>
      <c r="J10" s="11">
        <f>3504.63+209.53+130.21</f>
        <v>3844.3700000000003</v>
      </c>
      <c r="K10" s="11">
        <f>6618.64+394.49+245.15</f>
        <v>7258.28</v>
      </c>
      <c r="L10" s="11">
        <v>4297.1499999999996</v>
      </c>
      <c r="M10" s="11">
        <f>6020.2+358.36+222.7</f>
        <v>6601.2599999999993</v>
      </c>
      <c r="N10" s="11">
        <f>SUM(B10:M10)</f>
        <v>42276.38</v>
      </c>
    </row>
    <row r="11" spans="1:18" ht="24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145.30000000000001</v>
      </c>
      <c r="J11" s="11">
        <v>0</v>
      </c>
      <c r="K11" s="11">
        <v>0</v>
      </c>
      <c r="L11" s="11">
        <v>0</v>
      </c>
      <c r="M11" s="11">
        <v>0</v>
      </c>
      <c r="N11" s="11">
        <f t="shared" ref="N11" si="13">SUM(B11:M11)</f>
        <v>145.30000000000001</v>
      </c>
    </row>
    <row r="12" spans="1:18" ht="24.75" customHeight="1" thickBot="1" x14ac:dyDescent="0.3">
      <c r="A12" s="4" t="s">
        <v>20</v>
      </c>
      <c r="B12" s="11">
        <f>2320.66+138.72+86.21</f>
        <v>2545.5899999999997</v>
      </c>
      <c r="C12" s="11">
        <v>0</v>
      </c>
      <c r="D12" s="11">
        <f>3488.01+208.08+129.31</f>
        <v>3825.4</v>
      </c>
      <c r="E12" s="11">
        <f>1092.97+65.03+40.41</f>
        <v>1198.4100000000001</v>
      </c>
      <c r="F12" s="11">
        <f>1055.71+63.58+39.51</f>
        <v>1158.8</v>
      </c>
      <c r="G12" s="11">
        <v>0</v>
      </c>
      <c r="H12" s="11">
        <f>1171.96+69.36+43.1</f>
        <v>1284.4199999999998</v>
      </c>
      <c r="I12" s="11">
        <v>0</v>
      </c>
      <c r="J12" s="11">
        <f>3721.45+221.09+137.39</f>
        <v>4079.93</v>
      </c>
      <c r="K12" s="11">
        <v>0</v>
      </c>
      <c r="L12" s="11">
        <f>456.32+27.46+17.06</f>
        <v>500.84</v>
      </c>
      <c r="M12" s="11">
        <f>1607.24+95.37+59.27</f>
        <v>1761.88</v>
      </c>
      <c r="N12" s="11">
        <f t="shared" ref="N12:N22" si="14">SUM(B12:M12)</f>
        <v>16355.27</v>
      </c>
    </row>
    <row r="13" spans="1:18" ht="24.75" customHeight="1" thickBot="1" x14ac:dyDescent="0.3">
      <c r="A13" s="4" t="s">
        <v>27</v>
      </c>
      <c r="B13" s="11">
        <f>361.7+21.68+13.47</f>
        <v>396.85</v>
      </c>
      <c r="C13" s="11">
        <f>361.7+21.68+13.47</f>
        <v>396.85</v>
      </c>
      <c r="D13" s="11">
        <f>361.7+21.68+13.47</f>
        <v>396.85</v>
      </c>
      <c r="E13" s="11">
        <f>361.7+21.68+13.47</f>
        <v>396.85</v>
      </c>
      <c r="F13" s="11">
        <f>361.7+21.68+13.47</f>
        <v>396.85</v>
      </c>
      <c r="G13" s="11">
        <f>361.71+21.68+13.47</f>
        <v>396.86</v>
      </c>
      <c r="H13" s="11">
        <f>417.88+24.57+15.27</f>
        <v>457.71999999999997</v>
      </c>
      <c r="I13" s="11">
        <f>417.88+24.57+15.27</f>
        <v>457.71999999999997</v>
      </c>
      <c r="J13" s="11">
        <f>417.88+24.57+15.27</f>
        <v>457.71999999999997</v>
      </c>
      <c r="K13" s="11">
        <f>417.88+24.57+15.27</f>
        <v>457.71999999999997</v>
      </c>
      <c r="L13" s="11">
        <f>1519.54+91.04+56.57</f>
        <v>1667.1499999999999</v>
      </c>
      <c r="M13" s="11">
        <f>1438.11+72.25+44.9</f>
        <v>1555.26</v>
      </c>
      <c r="N13" s="11">
        <f t="shared" si="14"/>
        <v>7434.4</v>
      </c>
    </row>
    <row r="14" spans="1:18" ht="24.75" customHeight="1" thickBot="1" x14ac:dyDescent="0.3">
      <c r="A14" s="4" t="s">
        <v>15</v>
      </c>
      <c r="B14" s="11">
        <v>1670</v>
      </c>
      <c r="C14" s="11">
        <v>1670</v>
      </c>
      <c r="D14" s="11">
        <v>1670</v>
      </c>
      <c r="E14" s="11">
        <v>1670</v>
      </c>
      <c r="F14" s="11">
        <v>1670</v>
      </c>
      <c r="G14" s="11">
        <v>1670</v>
      </c>
      <c r="H14" s="11">
        <v>1670</v>
      </c>
      <c r="I14" s="11">
        <v>1670</v>
      </c>
      <c r="J14" s="11">
        <v>1670</v>
      </c>
      <c r="K14" s="11">
        <v>1670</v>
      </c>
      <c r="L14" s="11">
        <v>1670</v>
      </c>
      <c r="M14" s="11">
        <v>1670</v>
      </c>
      <c r="N14" s="11">
        <f t="shared" si="14"/>
        <v>20040</v>
      </c>
    </row>
    <row r="15" spans="1:18" ht="20.25" customHeight="1" thickBot="1" x14ac:dyDescent="0.3">
      <c r="A15" s="12" t="s">
        <v>8</v>
      </c>
      <c r="B15" s="13">
        <f t="shared" ref="B15:H15" si="15">SUM(B16:B22)</f>
        <v>49500.85</v>
      </c>
      <c r="C15" s="13">
        <f t="shared" si="15"/>
        <v>48596.78</v>
      </c>
      <c r="D15" s="13">
        <f t="shared" si="15"/>
        <v>53023.83</v>
      </c>
      <c r="E15" s="13">
        <f t="shared" si="15"/>
        <v>54218.720000000001</v>
      </c>
      <c r="F15" s="13">
        <f t="shared" si="15"/>
        <v>47602.13</v>
      </c>
      <c r="G15" s="13">
        <f t="shared" si="15"/>
        <v>53939.80999999999</v>
      </c>
      <c r="H15" s="13">
        <f t="shared" si="15"/>
        <v>43123.329999999994</v>
      </c>
      <c r="I15" s="13">
        <f>SUM(I16:I22)</f>
        <v>52106.94999999999</v>
      </c>
      <c r="J15" s="13">
        <f t="shared" ref="J15:M15" si="16">SUM(J16:J22)</f>
        <v>48549.31</v>
      </c>
      <c r="K15" s="13">
        <f>SUM(K16:K22)</f>
        <v>54526.79</v>
      </c>
      <c r="L15" s="13">
        <f t="shared" si="16"/>
        <v>48354.619999999995</v>
      </c>
      <c r="M15" s="13">
        <f t="shared" si="16"/>
        <v>50059.80999999999</v>
      </c>
      <c r="N15" s="13">
        <f>SUM(B15:M15)</f>
        <v>603602.92999999993</v>
      </c>
    </row>
    <row r="16" spans="1:18" ht="24" customHeight="1" thickBot="1" x14ac:dyDescent="0.3">
      <c r="A16" s="4" t="s">
        <v>30</v>
      </c>
      <c r="B16" s="11">
        <f>35241.04+902.83</f>
        <v>36143.870000000003</v>
      </c>
      <c r="C16" s="11">
        <f>35739.16+949.7</f>
        <v>36688.86</v>
      </c>
      <c r="D16" s="11">
        <f>42909.92+1192.66</f>
        <v>44102.58</v>
      </c>
      <c r="E16" s="11">
        <f>40864.58+1057.16</f>
        <v>41921.740000000005</v>
      </c>
      <c r="F16" s="11">
        <f>37395.82+958.14</f>
        <v>38353.96</v>
      </c>
      <c r="G16" s="11">
        <f>40873.05+0.38+1052.81</f>
        <v>41926.239999999998</v>
      </c>
      <c r="H16" s="11">
        <f>34428.11+925.64</f>
        <v>35353.75</v>
      </c>
      <c r="I16" s="11">
        <f>41042.02+1020.34</f>
        <v>42062.359999999993</v>
      </c>
      <c r="J16" s="11">
        <f>42092.81+1014.21</f>
        <v>43107.02</v>
      </c>
      <c r="K16" s="11">
        <f>40710.65+1023.12</f>
        <v>41733.770000000004</v>
      </c>
      <c r="L16" s="11">
        <f>35401+887.08</f>
        <v>36288.080000000002</v>
      </c>
      <c r="M16" s="11">
        <f>40784.11+1106.96</f>
        <v>41891.07</v>
      </c>
      <c r="N16" s="11">
        <f t="shared" si="14"/>
        <v>479573.30000000005</v>
      </c>
    </row>
    <row r="17" spans="1:15" ht="26.25" customHeight="1" thickBot="1" x14ac:dyDescent="0.3">
      <c r="A17" s="4" t="s">
        <v>17</v>
      </c>
      <c r="B17" s="11">
        <f t="shared" ref="B17:G17" si="17">2767.18+1719.67</f>
        <v>4486.8500000000004</v>
      </c>
      <c r="C17" s="11">
        <f t="shared" si="17"/>
        <v>4486.8500000000004</v>
      </c>
      <c r="D17" s="11">
        <f t="shared" si="17"/>
        <v>4486.8500000000004</v>
      </c>
      <c r="E17" s="11">
        <f t="shared" si="17"/>
        <v>4486.8500000000004</v>
      </c>
      <c r="F17" s="11">
        <f t="shared" si="17"/>
        <v>4486.8500000000004</v>
      </c>
      <c r="G17" s="11">
        <f t="shared" si="17"/>
        <v>4486.8500000000004</v>
      </c>
      <c r="H17" s="11">
        <f>2767.18+1719.67</f>
        <v>4486.8500000000004</v>
      </c>
      <c r="I17" s="11">
        <f>2767.18+1719.67</f>
        <v>4486.8500000000004</v>
      </c>
      <c r="J17" s="11">
        <v>2767.18</v>
      </c>
      <c r="K17" s="11">
        <f>2767.18+1719.67</f>
        <v>4486.8500000000004</v>
      </c>
      <c r="L17" s="11">
        <f>2767.18+1719.67</f>
        <v>4486.8500000000004</v>
      </c>
      <c r="M17" s="11">
        <f>2767.18+1719.67</f>
        <v>4486.8500000000004</v>
      </c>
      <c r="N17" s="11">
        <f t="shared" si="14"/>
        <v>52122.529999999992</v>
      </c>
    </row>
    <row r="18" spans="1:15" ht="26.25" customHeight="1" thickBot="1" x14ac:dyDescent="0.3">
      <c r="A18" s="4" t="s">
        <v>18</v>
      </c>
      <c r="B18" s="11">
        <f>5242.16+419.05+260.42</f>
        <v>5921.63</v>
      </c>
      <c r="C18" s="11">
        <f>3172.33+244.21+152.66</f>
        <v>3569.2</v>
      </c>
      <c r="D18" s="11">
        <f>2030.83+114.16+70.55</f>
        <v>2215.54</v>
      </c>
      <c r="E18" s="11">
        <f>2502.71+167.62+104.17</f>
        <v>2774.5</v>
      </c>
      <c r="F18" s="11">
        <f>1570.78+112.71+70.04</f>
        <v>1753.53</v>
      </c>
      <c r="G18" s="11">
        <f>3980.1+284.67+176.91</f>
        <v>4441.6799999999994</v>
      </c>
      <c r="H18" s="11">
        <f>1189.11+89.59+55.68</f>
        <v>1334.3799999999999</v>
      </c>
      <c r="I18" s="11">
        <f>1337.16+88.15+54.78</f>
        <v>1480.0900000000001</v>
      </c>
      <c r="J18" s="11">
        <v>425.36</v>
      </c>
      <c r="K18" s="11">
        <f>2741.46+209.53+130.21</f>
        <v>3081.2000000000003</v>
      </c>
      <c r="L18" s="11">
        <f>4803.89+209.53+245.15</f>
        <v>5258.57</v>
      </c>
      <c r="M18" s="11">
        <v>293.13</v>
      </c>
      <c r="N18" s="11">
        <f t="shared" si="14"/>
        <v>32548.81</v>
      </c>
    </row>
    <row r="19" spans="1:15" ht="26.25" customHeight="1" thickBot="1" x14ac:dyDescent="0.3">
      <c r="A19" s="4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1.1499999999999999</v>
      </c>
      <c r="G19" s="11">
        <v>1.24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4"/>
        <v>2.3899999999999997</v>
      </c>
    </row>
    <row r="20" spans="1:15" ht="26.25" customHeight="1" thickBot="1" x14ac:dyDescent="0.3">
      <c r="A20" s="4" t="s">
        <v>20</v>
      </c>
      <c r="B20" s="11">
        <f>919.37+73.7+45.8</f>
        <v>1038.8700000000001</v>
      </c>
      <c r="C20" s="11">
        <f>1713.53+138.72+86.21</f>
        <v>1938.46</v>
      </c>
      <c r="D20" s="11">
        <v>249.16</v>
      </c>
      <c r="E20" s="11">
        <f>2744.86+208.08+129.31</f>
        <v>3082.25</v>
      </c>
      <c r="F20" s="11">
        <f>973.13+65.03+40.41</f>
        <v>1078.5700000000002</v>
      </c>
      <c r="G20" s="11">
        <f>1025.37+63.58+39.51</f>
        <v>1128.4599999999998</v>
      </c>
      <c r="H20" s="11">
        <v>45.09</v>
      </c>
      <c r="I20" s="11">
        <f>912.28+69.36+43.1</f>
        <v>1024.74</v>
      </c>
      <c r="J20" s="11">
        <v>239.37</v>
      </c>
      <c r="K20" s="11">
        <f>2861.46+221.09+137.39</f>
        <v>3219.94</v>
      </c>
      <c r="L20" s="11">
        <f>143.34+221.09+15.27</f>
        <v>379.7</v>
      </c>
      <c r="M20" s="11">
        <f>447.72+27.46+17.06</f>
        <v>492.24</v>
      </c>
      <c r="N20" s="11">
        <f t="shared" si="14"/>
        <v>13916.85</v>
      </c>
    </row>
    <row r="21" spans="1:15" ht="26.25" customHeight="1" thickBot="1" x14ac:dyDescent="0.3">
      <c r="A21" s="4" t="s">
        <v>27</v>
      </c>
      <c r="B21" s="11">
        <f>274.48+21.68+13.47</f>
        <v>309.63000000000005</v>
      </c>
      <c r="C21" s="11">
        <f>278.26+21.68+13.47</f>
        <v>313.41000000000003</v>
      </c>
      <c r="D21" s="11">
        <f>334.55+21.68+13.47</f>
        <v>369.70000000000005</v>
      </c>
      <c r="E21" s="11">
        <f>318.23+21.68+13.47</f>
        <v>353.38000000000005</v>
      </c>
      <c r="F21" s="11">
        <f>292.92+21.68+13.47</f>
        <v>328.07000000000005</v>
      </c>
      <c r="G21" s="11">
        <f>320.19+21.68+13.47</f>
        <v>355.34000000000003</v>
      </c>
      <c r="H21" s="11">
        <f>268.11+21.68+13.47</f>
        <v>303.26000000000005</v>
      </c>
      <c r="I21" s="11">
        <f>363.07+24.57+15.27</f>
        <v>402.90999999999997</v>
      </c>
      <c r="J21" s="11">
        <f>370.54+24.57+15.27</f>
        <v>410.38</v>
      </c>
      <c r="K21" s="11">
        <f>365.19+24.57+15.27</f>
        <v>405.03</v>
      </c>
      <c r="L21" s="11">
        <f>316.85+24.57</f>
        <v>341.42</v>
      </c>
      <c r="M21" s="11">
        <f>1148.91+91.04+56.57</f>
        <v>1296.52</v>
      </c>
      <c r="N21" s="11">
        <f t="shared" si="14"/>
        <v>5189.0500000000011</v>
      </c>
    </row>
    <row r="22" spans="1:15" ht="26.25" customHeight="1" thickBot="1" x14ac:dyDescent="0.3">
      <c r="A22" s="4" t="s">
        <v>15</v>
      </c>
      <c r="B22" s="14">
        <v>1600</v>
      </c>
      <c r="C22" s="14">
        <v>1600</v>
      </c>
      <c r="D22" s="14">
        <v>1600</v>
      </c>
      <c r="E22" s="14">
        <v>1600</v>
      </c>
      <c r="F22" s="14">
        <v>1600</v>
      </c>
      <c r="G22" s="14">
        <v>1600</v>
      </c>
      <c r="H22" s="14">
        <v>1600</v>
      </c>
      <c r="I22" s="14">
        <v>2650</v>
      </c>
      <c r="J22" s="14">
        <v>1600</v>
      </c>
      <c r="K22" s="14">
        <v>1600</v>
      </c>
      <c r="L22" s="14">
        <v>1600</v>
      </c>
      <c r="M22" s="14">
        <v>1600</v>
      </c>
      <c r="N22" s="11">
        <f t="shared" si="14"/>
        <v>20250</v>
      </c>
      <c r="O22" s="3"/>
    </row>
    <row r="23" spans="1:15" ht="21.75" customHeight="1" thickBot="1" x14ac:dyDescent="0.3">
      <c r="A23" s="15" t="s">
        <v>25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2659.3*0.6</f>
        <v>1595.5800000000002</v>
      </c>
      <c r="C24" s="11">
        <f t="shared" ref="C24:M24" si="18">2659.3*0.6</f>
        <v>1595.5800000000002</v>
      </c>
      <c r="D24" s="11">
        <f t="shared" si="18"/>
        <v>1595.5800000000002</v>
      </c>
      <c r="E24" s="11">
        <f t="shared" si="18"/>
        <v>1595.5800000000002</v>
      </c>
      <c r="F24" s="11">
        <f t="shared" si="18"/>
        <v>1595.5800000000002</v>
      </c>
      <c r="G24" s="11">
        <f t="shared" si="18"/>
        <v>1595.5800000000002</v>
      </c>
      <c r="H24" s="11">
        <f t="shared" si="18"/>
        <v>1595.5800000000002</v>
      </c>
      <c r="I24" s="11">
        <f t="shared" si="18"/>
        <v>1595.5800000000002</v>
      </c>
      <c r="J24" s="11">
        <f t="shared" si="18"/>
        <v>1595.5800000000002</v>
      </c>
      <c r="K24" s="11">
        <f t="shared" si="18"/>
        <v>1595.5800000000002</v>
      </c>
      <c r="L24" s="11">
        <f t="shared" si="18"/>
        <v>1595.5800000000002</v>
      </c>
      <c r="M24" s="11">
        <f t="shared" si="18"/>
        <v>1595.5800000000002</v>
      </c>
      <c r="N24" s="11">
        <f t="shared" ref="N24:N36" si="19">SUM(B24:M24)</f>
        <v>19146.960000000003</v>
      </c>
    </row>
    <row r="25" spans="1:15" ht="22.5" customHeight="1" thickBot="1" x14ac:dyDescent="0.3">
      <c r="A25" s="4" t="s">
        <v>2</v>
      </c>
      <c r="B25" s="11">
        <f>2659.3*0.17</f>
        <v>452.08100000000007</v>
      </c>
      <c r="C25" s="11">
        <f t="shared" ref="C25:M25" si="20">2659.3*0.17</f>
        <v>452.08100000000007</v>
      </c>
      <c r="D25" s="11">
        <f t="shared" si="20"/>
        <v>452.08100000000007</v>
      </c>
      <c r="E25" s="11">
        <f t="shared" si="20"/>
        <v>452.08100000000007</v>
      </c>
      <c r="F25" s="11">
        <f t="shared" si="20"/>
        <v>452.08100000000007</v>
      </c>
      <c r="G25" s="11">
        <f t="shared" si="20"/>
        <v>452.08100000000007</v>
      </c>
      <c r="H25" s="11">
        <f t="shared" si="20"/>
        <v>452.08100000000007</v>
      </c>
      <c r="I25" s="11">
        <f t="shared" si="20"/>
        <v>452.08100000000007</v>
      </c>
      <c r="J25" s="11">
        <f t="shared" si="20"/>
        <v>452.08100000000007</v>
      </c>
      <c r="K25" s="11">
        <f t="shared" si="20"/>
        <v>452.08100000000007</v>
      </c>
      <c r="L25" s="11">
        <f t="shared" si="20"/>
        <v>452.08100000000007</v>
      </c>
      <c r="M25" s="11">
        <f t="shared" si="20"/>
        <v>452.08100000000007</v>
      </c>
      <c r="N25" s="11">
        <f t="shared" si="19"/>
        <v>5424.9720000000007</v>
      </c>
    </row>
    <row r="26" spans="1:15" ht="21" customHeight="1" thickBot="1" x14ac:dyDescent="0.3">
      <c r="A26" s="4" t="s">
        <v>3</v>
      </c>
      <c r="B26" s="11">
        <f>54439.74*2.3%</f>
        <v>1252.11402</v>
      </c>
      <c r="C26" s="11">
        <f>49913.59*2.3%</f>
        <v>1148.0125699999999</v>
      </c>
      <c r="D26" s="11">
        <f>54298.93*2.3%</f>
        <v>1248.8753899999999</v>
      </c>
      <c r="E26" s="11">
        <f>50996.04*2.3%</f>
        <v>1172.9089200000001</v>
      </c>
      <c r="F26" s="11">
        <f>53846.87*2.3%</f>
        <v>1238.47801</v>
      </c>
      <c r="G26" s="11">
        <f>49516.19*2.3%</f>
        <v>1138.87237</v>
      </c>
      <c r="H26" s="11">
        <f>50724.74*2.3%</f>
        <v>1166.66902</v>
      </c>
      <c r="I26" s="11">
        <f>48210.22*2.3%</f>
        <v>1108.8350600000001</v>
      </c>
      <c r="J26" s="11">
        <f>55291*2.3%</f>
        <v>1271.693</v>
      </c>
      <c r="K26" s="11">
        <f>54683.56*2.3%</f>
        <v>1257.7218799999998</v>
      </c>
      <c r="L26" s="11">
        <f>53920.05*2.3%</f>
        <v>1240.1611500000001</v>
      </c>
      <c r="M26" s="11">
        <f>56712.59*2.3%</f>
        <v>1304.3895699999998</v>
      </c>
      <c r="N26" s="11">
        <f t="shared" si="19"/>
        <v>14548.730959999997</v>
      </c>
    </row>
    <row r="27" spans="1:15" ht="23.25" customHeight="1" thickBot="1" x14ac:dyDescent="0.3">
      <c r="A27" s="4" t="s">
        <v>4</v>
      </c>
      <c r="B27" s="11">
        <f>42579.88*3%</f>
        <v>1277.3963999999999</v>
      </c>
      <c r="C27" s="11">
        <f>41852.98*3%</f>
        <v>1255.5894000000001</v>
      </c>
      <c r="D27" s="11">
        <f>46717.12*3%</f>
        <v>1401.5136</v>
      </c>
      <c r="E27" s="11">
        <f>47487.54*3%</f>
        <v>1424.6261999999999</v>
      </c>
      <c r="F27" s="11">
        <f>41191.94*3%</f>
        <v>1235.7582</v>
      </c>
      <c r="G27" s="11">
        <f>47253.14*3%</f>
        <v>1417.5942</v>
      </c>
      <c r="H27" s="11">
        <f>36856.06*3%</f>
        <v>1105.6817999999998</v>
      </c>
      <c r="I27" s="11">
        <f>44674.87*3%</f>
        <v>1340.2461000000001</v>
      </c>
      <c r="J27" s="11">
        <f>44142.29*3%</f>
        <v>1324.2687000000001</v>
      </c>
      <c r="K27" s="11">
        <f>47701.88*3%</f>
        <v>1431.0563999999999</v>
      </c>
      <c r="L27" s="11">
        <f>41552.16*3%</f>
        <v>1246.5648000000001</v>
      </c>
      <c r="M27" s="11">
        <f>43780.83*3%</f>
        <v>1313.4249</v>
      </c>
      <c r="N27" s="11">
        <f t="shared" si="19"/>
        <v>15773.7207</v>
      </c>
    </row>
    <row r="28" spans="1:15" ht="23.25" customHeight="1" thickBot="1" x14ac:dyDescent="0.3">
      <c r="A28" s="4" t="s">
        <v>9</v>
      </c>
      <c r="B28" s="11">
        <f>2659.3*9.7</f>
        <v>25795.21</v>
      </c>
      <c r="C28" s="11">
        <f t="shared" ref="C28:M28" si="21">2659.3*9.7</f>
        <v>25795.21</v>
      </c>
      <c r="D28" s="11">
        <f t="shared" si="21"/>
        <v>25795.21</v>
      </c>
      <c r="E28" s="11">
        <f t="shared" si="21"/>
        <v>25795.21</v>
      </c>
      <c r="F28" s="11">
        <f t="shared" si="21"/>
        <v>25795.21</v>
      </c>
      <c r="G28" s="11">
        <f t="shared" si="21"/>
        <v>25795.21</v>
      </c>
      <c r="H28" s="11">
        <f t="shared" si="21"/>
        <v>25795.21</v>
      </c>
      <c r="I28" s="11">
        <f t="shared" si="21"/>
        <v>25795.21</v>
      </c>
      <c r="J28" s="11">
        <f t="shared" si="21"/>
        <v>25795.21</v>
      </c>
      <c r="K28" s="11">
        <f t="shared" si="21"/>
        <v>25795.21</v>
      </c>
      <c r="L28" s="11">
        <f t="shared" si="21"/>
        <v>25795.21</v>
      </c>
      <c r="M28" s="11">
        <f t="shared" si="21"/>
        <v>25795.21</v>
      </c>
      <c r="N28" s="11">
        <f t="shared" si="19"/>
        <v>309542.51999999996</v>
      </c>
    </row>
    <row r="29" spans="1:15" ht="26.25" customHeight="1" thickBot="1" x14ac:dyDescent="0.3">
      <c r="A29" s="4" t="s">
        <v>21</v>
      </c>
      <c r="B29" s="11">
        <f>1853.08+235.79</f>
        <v>2088.87</v>
      </c>
      <c r="C29" s="11">
        <f>2726.22+346.69</f>
        <v>3072.91</v>
      </c>
      <c r="D29" s="11">
        <f>1842.86+234.52</f>
        <v>2077.38</v>
      </c>
      <c r="E29" s="11">
        <f>4652.56+591.93</f>
        <v>5244.4900000000007</v>
      </c>
      <c r="F29" s="11">
        <f>1466.57+186.51</f>
        <v>1653.08</v>
      </c>
      <c r="G29" s="11">
        <f>1447.47+184.14</f>
        <v>1631.6100000000001</v>
      </c>
      <c r="H29" s="11">
        <v>0</v>
      </c>
      <c r="I29" s="11">
        <f>3438.72+404.51</f>
        <v>3843.2299999999996</v>
      </c>
      <c r="J29" s="11">
        <f>6494.22+763.95</f>
        <v>7258.17</v>
      </c>
      <c r="K29" s="11">
        <f>4216.38+496</f>
        <v>4712.38</v>
      </c>
      <c r="L29" s="11">
        <f>5907.01+694.85</f>
        <v>6601.8600000000006</v>
      </c>
      <c r="M29" s="11">
        <f>7913.72+930.93</f>
        <v>8844.65</v>
      </c>
      <c r="N29" s="11">
        <f t="shared" si="19"/>
        <v>47028.63</v>
      </c>
    </row>
    <row r="30" spans="1:15" ht="26.25" customHeight="1" thickBot="1" x14ac:dyDescent="0.3">
      <c r="A30" s="4" t="s">
        <v>22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9"/>
        <v>0</v>
      </c>
    </row>
    <row r="31" spans="1:15" ht="26.25" customHeight="1" thickBot="1" x14ac:dyDescent="0.3">
      <c r="A31" s="4" t="s">
        <v>23</v>
      </c>
      <c r="B31" s="11">
        <v>0</v>
      </c>
      <c r="C31" s="11">
        <v>3825.01</v>
      </c>
      <c r="D31" s="11">
        <v>1198.5</v>
      </c>
      <c r="E31" s="11">
        <v>1157.7</v>
      </c>
      <c r="F31" s="11">
        <v>0</v>
      </c>
      <c r="G31" s="11">
        <v>1285.2</v>
      </c>
      <c r="H31" s="11">
        <v>0</v>
      </c>
      <c r="I31" s="11">
        <v>4081.06</v>
      </c>
      <c r="J31" s="11">
        <v>0</v>
      </c>
      <c r="K31" s="11">
        <v>500.41</v>
      </c>
      <c r="L31" s="11">
        <v>1762.52</v>
      </c>
      <c r="M31" s="11">
        <v>0</v>
      </c>
      <c r="N31" s="11">
        <f t="shared" si="19"/>
        <v>13810.4</v>
      </c>
    </row>
    <row r="32" spans="1:15" ht="26.25" customHeight="1" thickBot="1" x14ac:dyDescent="0.3">
      <c r="A32" s="4" t="s">
        <v>27</v>
      </c>
      <c r="B32" s="11">
        <v>396.83</v>
      </c>
      <c r="C32" s="11">
        <v>396.83</v>
      </c>
      <c r="D32" s="11">
        <v>396.83</v>
      </c>
      <c r="E32" s="11">
        <v>396.83</v>
      </c>
      <c r="F32" s="11">
        <v>396.83</v>
      </c>
      <c r="G32" s="11">
        <v>396.83</v>
      </c>
      <c r="H32" s="11">
        <v>229.28</v>
      </c>
      <c r="I32" s="11">
        <f>229.28+230.52</f>
        <v>459.8</v>
      </c>
      <c r="J32" s="11">
        <f>229.28+164.8</f>
        <v>394.08000000000004</v>
      </c>
      <c r="K32" s="11">
        <f>229.28+1290.31</f>
        <v>1519.59</v>
      </c>
      <c r="L32" s="11">
        <f>229.28+981.6</f>
        <v>1210.8800000000001</v>
      </c>
      <c r="M32" s="11">
        <f>229.28+0</f>
        <v>229.28</v>
      </c>
      <c r="N32" s="11">
        <f t="shared" si="19"/>
        <v>6423.89</v>
      </c>
    </row>
    <row r="33" spans="1:14" ht="22.5" customHeight="1" thickBot="1" x14ac:dyDescent="0.3">
      <c r="A33" s="4" t="s">
        <v>6</v>
      </c>
      <c r="B33" s="11">
        <f>2659.3*2.87</f>
        <v>7632.1910000000007</v>
      </c>
      <c r="C33" s="11">
        <f t="shared" ref="C33:M33" si="22">2659.3*2.87</f>
        <v>7632.1910000000007</v>
      </c>
      <c r="D33" s="11">
        <f t="shared" si="22"/>
        <v>7632.1910000000007</v>
      </c>
      <c r="E33" s="11">
        <f t="shared" si="22"/>
        <v>7632.1910000000007</v>
      </c>
      <c r="F33" s="11">
        <f t="shared" si="22"/>
        <v>7632.1910000000007</v>
      </c>
      <c r="G33" s="11">
        <f t="shared" si="22"/>
        <v>7632.1910000000007</v>
      </c>
      <c r="H33" s="11">
        <f t="shared" si="22"/>
        <v>7632.1910000000007</v>
      </c>
      <c r="I33" s="11">
        <f t="shared" si="22"/>
        <v>7632.1910000000007</v>
      </c>
      <c r="J33" s="11">
        <f t="shared" si="22"/>
        <v>7632.1910000000007</v>
      </c>
      <c r="K33" s="11">
        <f t="shared" si="22"/>
        <v>7632.1910000000007</v>
      </c>
      <c r="L33" s="11">
        <f t="shared" si="22"/>
        <v>7632.1910000000007</v>
      </c>
      <c r="M33" s="11">
        <f t="shared" si="22"/>
        <v>7632.1910000000007</v>
      </c>
      <c r="N33" s="11">
        <f t="shared" si="19"/>
        <v>91586.292000000016</v>
      </c>
    </row>
    <row r="34" spans="1:14" ht="24.75" customHeight="1" thickBot="1" x14ac:dyDescent="0.3">
      <c r="A34" s="4" t="s">
        <v>26</v>
      </c>
      <c r="B34" s="11">
        <v>900</v>
      </c>
      <c r="C34" s="11">
        <v>900</v>
      </c>
      <c r="D34" s="11">
        <v>900</v>
      </c>
      <c r="E34" s="11">
        <v>900</v>
      </c>
      <c r="F34" s="11">
        <v>900</v>
      </c>
      <c r="G34" s="11">
        <v>900</v>
      </c>
      <c r="H34" s="11">
        <v>900</v>
      </c>
      <c r="I34" s="11">
        <v>900</v>
      </c>
      <c r="J34" s="11">
        <v>900</v>
      </c>
      <c r="K34" s="11">
        <v>900</v>
      </c>
      <c r="L34" s="11">
        <v>900</v>
      </c>
      <c r="M34" s="11">
        <v>900</v>
      </c>
      <c r="N34" s="11">
        <f t="shared" si="19"/>
        <v>10800</v>
      </c>
    </row>
    <row r="35" spans="1:14" ht="24.75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12216.17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 t="shared" si="19"/>
        <v>12216.17</v>
      </c>
    </row>
    <row r="36" spans="1:14" ht="24" customHeight="1" thickBot="1" x14ac:dyDescent="0.3">
      <c r="A36" s="4" t="s">
        <v>10</v>
      </c>
      <c r="B36" s="11">
        <v>0</v>
      </c>
      <c r="C36" s="11">
        <v>0</v>
      </c>
      <c r="D36" s="11">
        <f>18000</f>
        <v>18000</v>
      </c>
      <c r="E36" s="11">
        <v>0</v>
      </c>
      <c r="F36" s="11">
        <f>3783.8</f>
        <v>3783.8</v>
      </c>
      <c r="G36" s="11">
        <v>0</v>
      </c>
      <c r="H36" s="11">
        <v>0</v>
      </c>
      <c r="I36" s="11">
        <f>12106.9+9421.2+8733.2+4477.1</f>
        <v>34738.400000000001</v>
      </c>
      <c r="J36" s="11">
        <f>12500+649.3+87951.72</f>
        <v>101101.02</v>
      </c>
      <c r="K36" s="11">
        <v>0</v>
      </c>
      <c r="L36" s="11">
        <f>2420.3</f>
        <v>2420.3000000000002</v>
      </c>
      <c r="M36" s="11">
        <f>16955.7</f>
        <v>16955.7</v>
      </c>
      <c r="N36" s="11">
        <f t="shared" si="19"/>
        <v>176999.22</v>
      </c>
    </row>
    <row r="37" spans="1:14" ht="22.5" customHeight="1" thickBot="1" x14ac:dyDescent="0.3">
      <c r="A37" s="9" t="s">
        <v>24</v>
      </c>
      <c r="B37" s="10">
        <f t="shared" ref="B37:M37" si="23">SUM(B24:B36)</f>
        <v>41390.272419999994</v>
      </c>
      <c r="C37" s="10">
        <f t="shared" si="23"/>
        <v>46073.413970000001</v>
      </c>
      <c r="D37" s="10">
        <f t="shared" si="23"/>
        <v>60698.160989999997</v>
      </c>
      <c r="E37" s="10">
        <f t="shared" si="23"/>
        <v>45771.617119999995</v>
      </c>
      <c r="F37" s="10">
        <f t="shared" si="23"/>
        <v>56899.178209999998</v>
      </c>
      <c r="G37" s="10">
        <f t="shared" si="23"/>
        <v>42245.168570000002</v>
      </c>
      <c r="H37" s="10">
        <f t="shared" si="23"/>
        <v>38876.692819999997</v>
      </c>
      <c r="I37" s="10">
        <f t="shared" si="23"/>
        <v>81946.633159999998</v>
      </c>
      <c r="J37" s="10">
        <f t="shared" si="23"/>
        <v>147724.29370000001</v>
      </c>
      <c r="K37" s="10">
        <f t="shared" si="23"/>
        <v>45796.220279999994</v>
      </c>
      <c r="L37" s="10">
        <f t="shared" si="23"/>
        <v>50857.347949999996</v>
      </c>
      <c r="M37" s="10">
        <f t="shared" si="23"/>
        <v>65022.506469999993</v>
      </c>
      <c r="N37" s="10">
        <f>SUM(B37:M37)</f>
        <v>723301.50566000002</v>
      </c>
    </row>
    <row r="38" spans="1:14" ht="23.25" customHeight="1" thickBot="1" x14ac:dyDescent="0.3">
      <c r="A38" s="4" t="s">
        <v>5</v>
      </c>
      <c r="B38" s="18">
        <f t="shared" ref="B38:N38" si="24">B15-B37</f>
        <v>8110.5775800000047</v>
      </c>
      <c r="C38" s="18">
        <f t="shared" si="24"/>
        <v>2523.3660299999974</v>
      </c>
      <c r="D38" s="18">
        <f t="shared" si="24"/>
        <v>-7674.3309899999949</v>
      </c>
      <c r="E38" s="18">
        <f t="shared" si="24"/>
        <v>8447.1028800000058</v>
      </c>
      <c r="F38" s="18">
        <f t="shared" si="24"/>
        <v>-9297.0482100000008</v>
      </c>
      <c r="G38" s="18">
        <f t="shared" si="24"/>
        <v>11694.641429999989</v>
      </c>
      <c r="H38" s="18">
        <f t="shared" si="24"/>
        <v>4246.6371799999979</v>
      </c>
      <c r="I38" s="18">
        <f t="shared" si="24"/>
        <v>-29839.683160000008</v>
      </c>
      <c r="J38" s="18">
        <f t="shared" si="24"/>
        <v>-99174.983700000012</v>
      </c>
      <c r="K38" s="18">
        <f t="shared" si="24"/>
        <v>8730.5697200000068</v>
      </c>
      <c r="L38" s="18">
        <f t="shared" si="24"/>
        <v>-2502.7279500000004</v>
      </c>
      <c r="M38" s="18">
        <f t="shared" si="24"/>
        <v>-14962.696470000003</v>
      </c>
      <c r="N38" s="11">
        <f t="shared" si="24"/>
        <v>-119698.57566000009</v>
      </c>
    </row>
    <row r="39" spans="1:14" ht="23.25" customHeight="1" thickBot="1" x14ac:dyDescent="0.3">
      <c r="A39" s="4" t="s">
        <v>7</v>
      </c>
      <c r="B39" s="14">
        <f>B5+B38</f>
        <v>-553913.02241999994</v>
      </c>
      <c r="C39" s="19">
        <f>B39+C38</f>
        <v>-551389.6563899999</v>
      </c>
      <c r="D39" s="19">
        <f>C39+D38</f>
        <v>-559063.98737999995</v>
      </c>
      <c r="E39" s="14">
        <f>D39+E38</f>
        <v>-550616.88449999993</v>
      </c>
      <c r="F39" s="19">
        <f>E39+F38</f>
        <v>-559913.93270999996</v>
      </c>
      <c r="G39" s="19">
        <f>F39+G38</f>
        <v>-548219.29128</v>
      </c>
      <c r="H39" s="19">
        <f t="shared" ref="H39:J39" si="25">G39+H38</f>
        <v>-543972.65410000004</v>
      </c>
      <c r="I39" s="19">
        <f t="shared" si="25"/>
        <v>-573812.33726000006</v>
      </c>
      <c r="J39" s="19">
        <f t="shared" si="25"/>
        <v>-672987.32096000004</v>
      </c>
      <c r="K39" s="19">
        <f t="shared" ref="K39" si="26">J39+K38</f>
        <v>-664256.75124000001</v>
      </c>
      <c r="L39" s="19">
        <f t="shared" ref="L39" si="27">K39+L38</f>
        <v>-666759.47918999998</v>
      </c>
      <c r="M39" s="19">
        <f t="shared" ref="M39" si="28">L39+M38</f>
        <v>-681722.17565999995</v>
      </c>
      <c r="N39" s="18">
        <f>N5+N38</f>
        <v>-681722.17566000007</v>
      </c>
    </row>
    <row r="40" spans="1:14" ht="23.25" customHeight="1" thickBot="1" x14ac:dyDescent="0.3">
      <c r="A40" s="4" t="s">
        <v>45</v>
      </c>
      <c r="B40" s="11"/>
      <c r="C40" s="11"/>
      <c r="D40" s="11"/>
      <c r="E40" s="11"/>
      <c r="F40" s="11"/>
      <c r="G40" s="11"/>
      <c r="H40" s="11">
        <v>0</v>
      </c>
      <c r="I40" s="11">
        <v>0</v>
      </c>
      <c r="J40" s="11">
        <v>0</v>
      </c>
      <c r="K40" s="11">
        <v>0</v>
      </c>
      <c r="L40" s="23">
        <v>38218.230000000003</v>
      </c>
      <c r="M40" s="23">
        <v>0</v>
      </c>
      <c r="N40" s="24">
        <v>38218.230000000003</v>
      </c>
    </row>
    <row r="41" spans="1:14" ht="27" customHeight="1" thickBot="1" x14ac:dyDescent="0.3">
      <c r="A41" s="15" t="s">
        <v>11</v>
      </c>
      <c r="B41" s="20">
        <f t="shared" ref="B41:D41" si="29">B6+B15-B7</f>
        <v>-220112.02999999997</v>
      </c>
      <c r="C41" s="20">
        <f t="shared" si="29"/>
        <v>-227805.54999999996</v>
      </c>
      <c r="D41" s="20">
        <f t="shared" si="29"/>
        <v>-235881.82999999996</v>
      </c>
      <c r="E41" s="20">
        <f>E6+E15-E7</f>
        <v>-239139.33999999997</v>
      </c>
      <c r="F41" s="20">
        <f>F6+F15-F7</f>
        <v>-252140.74999999997</v>
      </c>
      <c r="G41" s="20">
        <f>G6+G15-G7</f>
        <v>-254054.39999999997</v>
      </c>
      <c r="H41" s="20">
        <f t="shared" ref="H41:K41" si="30">H6+H15-H7</f>
        <v>-268107.88999999996</v>
      </c>
      <c r="I41" s="20">
        <f t="shared" si="30"/>
        <v>-270407.84999999998</v>
      </c>
      <c r="J41" s="20">
        <f t="shared" si="30"/>
        <v>-284044.44999999995</v>
      </c>
      <c r="K41" s="20">
        <f t="shared" si="30"/>
        <v>-291037.54999999993</v>
      </c>
      <c r="L41" s="20">
        <f>L6+L15-L7+L40</f>
        <v>-264733.73</v>
      </c>
      <c r="M41" s="20">
        <f t="shared" ref="M41:N41" si="31">M6+M15-M7+M40</f>
        <v>-278396.20999999996</v>
      </c>
      <c r="N41" s="20">
        <f t="shared" si="31"/>
        <v>-278396.2100000002</v>
      </c>
    </row>
    <row r="42" spans="1:14" ht="21.75" hidden="1" customHeight="1" thickBot="1" x14ac:dyDescent="0.35">
      <c r="A42" s="27" t="s">
        <v>28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2"/>
    </row>
    <row r="43" spans="1:14" ht="19.5" hidden="1" customHeight="1" thickBot="1" x14ac:dyDescent="0.35">
      <c r="A43" s="27" t="s">
        <v>11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2">
        <f>N41+N42</f>
        <v>-278396.2100000002</v>
      </c>
    </row>
  </sheetData>
  <mergeCells count="3">
    <mergeCell ref="A1:N1"/>
    <mergeCell ref="A42:M42"/>
    <mergeCell ref="A43:M4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2025-03-14T05:39:06Z</cp:lastPrinted>
  <dcterms:created xsi:type="dcterms:W3CDTF">2011-06-06T03:25:48Z</dcterms:created>
  <dcterms:modified xsi:type="dcterms:W3CDTF">2025-03-14T06:34:02Z</dcterms:modified>
</cp:coreProperties>
</file>