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22" i="1" l="1"/>
  <c r="M21" i="1"/>
  <c r="M20" i="1"/>
  <c r="M10" i="1"/>
  <c r="M11" i="1"/>
  <c r="M9" i="1"/>
  <c r="L22" i="1"/>
  <c r="L21" i="1"/>
  <c r="L20" i="1"/>
  <c r="L13" i="1"/>
  <c r="L12" i="1"/>
  <c r="L11" i="1"/>
  <c r="L9" i="1"/>
  <c r="K22" i="1"/>
  <c r="K21" i="1"/>
  <c r="K20" i="1"/>
  <c r="K13" i="1"/>
  <c r="K12" i="1"/>
  <c r="K11" i="1"/>
  <c r="K9" i="1"/>
  <c r="N24" i="1" l="1"/>
  <c r="I46" i="1"/>
  <c r="L41" i="1" l="1"/>
  <c r="M37" i="1" l="1"/>
  <c r="L37" i="1"/>
  <c r="K37" i="1"/>
  <c r="M31" i="1" l="1"/>
  <c r="L31" i="1"/>
  <c r="K31" i="1"/>
  <c r="N45" i="1"/>
  <c r="K41" i="1" l="1"/>
  <c r="M29" i="1" l="1"/>
  <c r="M17" i="1"/>
  <c r="M28" i="1"/>
  <c r="M8" i="1"/>
  <c r="L28" i="1" l="1"/>
  <c r="L8" i="1"/>
  <c r="L29" i="1" l="1"/>
  <c r="L17" i="1"/>
  <c r="C46" i="1" l="1"/>
  <c r="K29" i="1"/>
  <c r="K17" i="1"/>
  <c r="K28" i="1"/>
  <c r="K8" i="1"/>
  <c r="H9" i="1" l="1"/>
  <c r="I9" i="1"/>
  <c r="J9" i="1"/>
  <c r="K35" i="1" l="1"/>
  <c r="L35" i="1"/>
  <c r="M35" i="1"/>
  <c r="K30" i="1"/>
  <c r="L30" i="1"/>
  <c r="M30" i="1"/>
  <c r="K27" i="1"/>
  <c r="L27" i="1"/>
  <c r="M27" i="1"/>
  <c r="K26" i="1"/>
  <c r="L26" i="1"/>
  <c r="M26" i="1"/>
  <c r="I28" i="1" l="1"/>
  <c r="I8" i="1"/>
  <c r="I7" i="1" s="1"/>
  <c r="J41" i="1" l="1"/>
  <c r="J19" i="1" l="1"/>
  <c r="J22" i="1"/>
  <c r="J20" i="1"/>
  <c r="J13" i="1"/>
  <c r="J12" i="1"/>
  <c r="J11" i="1"/>
  <c r="J18" i="1"/>
  <c r="H22" i="1"/>
  <c r="H20" i="1"/>
  <c r="H10" i="1"/>
  <c r="H13" i="1"/>
  <c r="H11" i="1"/>
  <c r="H18" i="1"/>
  <c r="I41" i="1" l="1"/>
  <c r="J37" i="1" l="1"/>
  <c r="I37" i="1"/>
  <c r="H37" i="1"/>
  <c r="J29" i="1" l="1"/>
  <c r="J17" i="1"/>
  <c r="J28" i="1"/>
  <c r="J8" i="1"/>
  <c r="I29" i="1" l="1"/>
  <c r="I17" i="1"/>
  <c r="H29" i="1" l="1"/>
  <c r="H17" i="1"/>
  <c r="H28" i="1"/>
  <c r="H8" i="1"/>
  <c r="H35" i="1"/>
  <c r="I35" i="1"/>
  <c r="J35" i="1"/>
  <c r="H30" i="1" l="1"/>
  <c r="I30" i="1"/>
  <c r="J30" i="1"/>
  <c r="H27" i="1"/>
  <c r="I27" i="1"/>
  <c r="J27" i="1"/>
  <c r="H26" i="1"/>
  <c r="I26" i="1"/>
  <c r="J26" i="1"/>
  <c r="G22" i="1" l="1"/>
  <c r="G20" i="1"/>
  <c r="G13" i="1"/>
  <c r="G11" i="1"/>
  <c r="G18" i="1"/>
  <c r="G9" i="1"/>
  <c r="F22" i="1"/>
  <c r="F21" i="1"/>
  <c r="F20" i="1"/>
  <c r="F13" i="1"/>
  <c r="F11" i="1"/>
  <c r="F18" i="1"/>
  <c r="F9" i="1"/>
  <c r="E21" i="1"/>
  <c r="E20" i="1"/>
  <c r="E22" i="1"/>
  <c r="E11" i="1"/>
  <c r="E13" i="1"/>
  <c r="E9" i="1"/>
  <c r="G41" i="1" l="1"/>
  <c r="G31" i="1" l="1"/>
  <c r="G37" i="1" l="1"/>
  <c r="E37" i="1"/>
  <c r="F41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41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37" i="1" l="1"/>
  <c r="D19" i="1" l="1"/>
  <c r="D21" i="1"/>
  <c r="D20" i="1"/>
  <c r="D22" i="1"/>
  <c r="D12" i="1"/>
  <c r="D11" i="1"/>
  <c r="D13" i="1"/>
  <c r="D9" i="1"/>
  <c r="C19" i="1"/>
  <c r="C21" i="1"/>
  <c r="C20" i="1"/>
  <c r="C22" i="1"/>
  <c r="C11" i="1"/>
  <c r="C13" i="1"/>
  <c r="C9" i="1"/>
  <c r="B19" i="1"/>
  <c r="B20" i="1"/>
  <c r="B22" i="1"/>
  <c r="B10" i="1"/>
  <c r="B12" i="1"/>
  <c r="B11" i="1"/>
  <c r="B13" i="1"/>
  <c r="B9" i="1"/>
  <c r="D41" i="1" l="1"/>
  <c r="C41" i="1" l="1"/>
  <c r="N37" i="1" l="1"/>
  <c r="D29" i="1" l="1"/>
  <c r="D17" i="1"/>
  <c r="D28" i="1"/>
  <c r="D8" i="1"/>
  <c r="B41" i="1" l="1"/>
  <c r="C29" i="1" l="1"/>
  <c r="C17" i="1"/>
  <c r="C28" i="1"/>
  <c r="C8" i="1"/>
  <c r="B29" i="1" l="1"/>
  <c r="B17" i="1"/>
  <c r="B28" i="1"/>
  <c r="B8" i="1"/>
  <c r="C35" i="1"/>
  <c r="D35" i="1"/>
  <c r="C30" i="1"/>
  <c r="D30" i="1"/>
  <c r="C27" i="1"/>
  <c r="D27" i="1"/>
  <c r="C26" i="1"/>
  <c r="D26" i="1"/>
  <c r="B35" i="1" l="1"/>
  <c r="B30" i="1"/>
  <c r="B27" i="1"/>
  <c r="B26" i="1"/>
  <c r="N38" i="1" l="1"/>
  <c r="J16" i="1" l="1"/>
  <c r="N15" i="1" l="1"/>
  <c r="N6" i="1" l="1"/>
  <c r="N5" i="1"/>
  <c r="N27" i="1"/>
  <c r="N26" i="1"/>
  <c r="N9" i="1"/>
  <c r="M16" i="1" l="1"/>
  <c r="N30" i="1"/>
  <c r="N31" i="1"/>
  <c r="N32" i="1"/>
  <c r="N33" i="1"/>
  <c r="N34" i="1"/>
  <c r="N35" i="1"/>
  <c r="N36" i="1"/>
  <c r="N39" i="1"/>
  <c r="N40" i="1"/>
  <c r="K16" i="1"/>
  <c r="L16" i="1"/>
  <c r="N16" i="1" l="1"/>
  <c r="M42" i="1"/>
  <c r="M43" i="1" s="1"/>
  <c r="L42" i="1"/>
  <c r="L43" i="1" s="1"/>
  <c r="K42" i="1"/>
  <c r="K7" i="1"/>
  <c r="L7" i="1"/>
  <c r="M7" i="1"/>
  <c r="N14" i="1"/>
  <c r="N7" i="1" l="1"/>
  <c r="N46" i="1" s="1"/>
  <c r="K43" i="1"/>
  <c r="N42" i="1"/>
  <c r="H16" i="1"/>
  <c r="I16" i="1"/>
  <c r="J42" i="1"/>
  <c r="J43" i="1" s="1"/>
  <c r="H7" i="1"/>
  <c r="J7" i="1"/>
  <c r="D7" i="1"/>
  <c r="C7" i="1"/>
  <c r="B7" i="1"/>
  <c r="G7" i="1"/>
  <c r="N28" i="1"/>
  <c r="N18" i="1"/>
  <c r="N17" i="1"/>
  <c r="N22" i="1"/>
  <c r="N21" i="1"/>
  <c r="N20" i="1"/>
  <c r="N8" i="1"/>
  <c r="N13" i="1"/>
  <c r="N12" i="1"/>
  <c r="N11" i="1"/>
  <c r="N10" i="1"/>
  <c r="D16" i="1"/>
  <c r="C16" i="1"/>
  <c r="B16" i="1"/>
  <c r="H42" i="1" l="1"/>
  <c r="H43" i="1" s="1"/>
  <c r="C42" i="1"/>
  <c r="C43" i="1" s="1"/>
  <c r="N41" i="1"/>
  <c r="N19" i="1"/>
  <c r="N23" i="1"/>
  <c r="N29" i="1"/>
  <c r="E7" i="1"/>
  <c r="F7" i="1"/>
  <c r="F16" i="1"/>
  <c r="G16" i="1"/>
  <c r="G42" i="1" s="1"/>
  <c r="G43" i="1" s="1"/>
  <c r="E16" i="1"/>
  <c r="I42" i="1"/>
  <c r="I43" i="1" s="1"/>
  <c r="B46" i="1"/>
  <c r="C6" i="1" s="1"/>
  <c r="D6" i="1" s="1"/>
  <c r="D46" i="1" s="1"/>
  <c r="E6" i="1" l="1"/>
  <c r="E42" i="1"/>
  <c r="E43" i="1" s="1"/>
  <c r="F42" i="1"/>
  <c r="F43" i="1" s="1"/>
  <c r="B42" i="1"/>
  <c r="D42" i="1"/>
  <c r="D43" i="1" s="1"/>
  <c r="E46" i="1" l="1"/>
  <c r="F6" i="1" s="1"/>
  <c r="F46" i="1" s="1"/>
  <c r="G6" i="1" s="1"/>
  <c r="B43" i="1"/>
  <c r="B44" i="1" s="1"/>
  <c r="N43" i="1"/>
  <c r="N44" i="1" s="1"/>
  <c r="G46" i="1" l="1"/>
  <c r="H6" i="1" s="1"/>
  <c r="H46" i="1" s="1"/>
  <c r="I6" i="1" s="1"/>
  <c r="C44" i="1"/>
  <c r="C5" i="1"/>
  <c r="J6" i="1" l="1"/>
  <c r="D5" i="1"/>
  <c r="D44" i="1"/>
  <c r="J46" i="1" l="1"/>
  <c r="K6" i="1" s="1"/>
  <c r="K46" i="1" s="1"/>
  <c r="L6" i="1" s="1"/>
  <c r="L46" i="1" s="1"/>
  <c r="E5" i="1"/>
  <c r="E44" i="1"/>
  <c r="M6" i="1" l="1"/>
  <c r="M46" i="1" s="1"/>
  <c r="F5" i="1"/>
  <c r="F44" i="1"/>
  <c r="G5" i="1" s="1"/>
  <c r="G44" i="1" s="1"/>
  <c r="H5" i="1" l="1"/>
  <c r="H44" i="1" s="1"/>
  <c r="I5" i="1" s="1"/>
  <c r="I44" i="1" s="1"/>
  <c r="J5" i="1" s="1"/>
  <c r="J44" i="1" s="1"/>
  <c r="K5" i="1" s="1"/>
  <c r="K44" i="1" s="1"/>
  <c r="L5" i="1" s="1"/>
  <c r="L44" i="1" s="1"/>
  <c r="M5" i="1" s="1"/>
  <c r="M44" i="1" s="1"/>
</calcChain>
</file>

<file path=xl/sharedStrings.xml><?xml version="1.0" encoding="utf-8"?>
<sst xmlns="http://schemas.openxmlformats.org/spreadsheetml/2006/main" count="57" uniqueCount="47">
  <si>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</si>
  <si>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</si>
  <si>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</si>
  <si>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</si>
  <si>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</si>
  <si>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</si>
  <si>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</si>
  <si>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</si>
  <si>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</si>
  <si>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</si>
  <si>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</si>
  <si>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</si>
  <si>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</si>
  <si>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</si>
  <si>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</si>
  <si>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</si>
  <si>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</si>
  <si>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</si>
  <si>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</si>
  <si>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</si>
  <si>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</si>
  <si>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</si>
  <si>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</si>
  <si>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</si>
  <si>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</si>
  <si>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</si>
  <si>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</si>
  <si>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</si>
  <si>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ЕИРКЦ (ведение счета по кап.ремонту)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</si>
  <si>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</si>
  <si>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</si>
  <si>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</si>
  <si>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</si>
  <si>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</si>
  <si>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</si>
  <si>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</si>
  <si>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</si>
  <si>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</si>
  <si>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</si>
  <si>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</t>
  </si>
  <si>
    <t>Ноябрь 2024г.</t>
  </si>
  <si>
    <t>Декабрь 2024г.</t>
  </si>
  <si>
    <t>Всего:                       за  2024г</t>
  </si>
  <si>
    <t>Вознаграждение совета МКД</t>
  </si>
  <si>
    <t>Налоги с вознаграждения совета МКД</t>
  </si>
  <si>
    <t>Корректировка задолженности по решению суда</t>
  </si>
  <si>
    <t xml:space="preserve">                 ОТЧЕТ по дому Васильева, 55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</si>
</sst>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37" zoomScale="75" workbookViewId="0">
      <selection activeCell="F51" sqref="F50:F51"/>
    </sheetView>
  </sheetViews>
  <sheetFormatPr defaultRowHeight="13.2" x14ac:dyDescent="0.25"/>
  <cols>
    <col min="1" max="1" width="58.6640625" customWidth="1"/>
    <col min="2" max="2" width="14.109375" customWidth="1"/>
    <col min="3" max="3" width="13.33203125" customWidth="1"/>
    <col min="4" max="5" width="13.44140625" customWidth="1"/>
    <col min="6" max="6" width="13.33203125" customWidth="1"/>
    <col min="7" max="7" width="13.88671875" customWidth="1"/>
    <col min="8" max="8" width="13.33203125" customWidth="1"/>
    <col min="9" max="9" width="13.5546875" customWidth="1"/>
    <col min="10" max="10" width="14.109375" customWidth="1"/>
    <col min="11" max="11" width="13.88671875" customWidth="1"/>
    <col min="12" max="12" width="14" customWidth="1"/>
    <col min="13" max="13" width="13.5546875" customWidth="1"/>
    <col min="14" max="14" width="15.6640625" customWidth="1"/>
  </cols>
  <sheetData>
    <row r="1" spans="1:18" ht="20.25" customHeight="1" x14ac:dyDescent="0.35">
      <c r="A1" s="22" t="s">
        <v>46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-379309.76</v>
      </c>
      <c r="C5" s="8">
        <f t="shared" ref="C5:D5" si="0">B44</f>
        <v>-356759.59632999997</v>
      </c>
      <c r="D5" s="8">
        <f t="shared" si="0"/>
        <v>-429525.13694999996</v>
      </c>
      <c r="E5" s="8">
        <f t="shared" ref="E5:G5" si="1">D44</f>
        <v>-450573.02193999995</v>
      </c>
      <c r="F5" s="8">
        <f t="shared" si="1"/>
        <v>-452513.50131999992</v>
      </c>
      <c r="G5" s="8">
        <f t="shared" si="1"/>
        <v>-479501.0297999999</v>
      </c>
      <c r="H5" s="8">
        <f t="shared" ref="H5" si="2">G44</f>
        <v>-488057.31589999987</v>
      </c>
      <c r="I5" s="8">
        <f t="shared" ref="I5" si="3">H44</f>
        <v>-463441.78418999986</v>
      </c>
      <c r="J5" s="8">
        <f t="shared" ref="J5" si="4">I44</f>
        <v>-505332.95519999985</v>
      </c>
      <c r="K5" s="8">
        <f t="shared" ref="K5" si="5">J44</f>
        <v>-493171.0916599998</v>
      </c>
      <c r="L5" s="8">
        <f t="shared" ref="L5" si="6">K44</f>
        <v>-493851.72433999984</v>
      </c>
      <c r="M5" s="8">
        <f t="shared" ref="M5" si="7">L44</f>
        <v>-477968.76419999986</v>
      </c>
      <c r="N5" s="8">
        <f>B5</f>
        <v>-379309.76</v>
      </c>
    </row>
    <row r="6" spans="1:18" ht="21" customHeight="1" thickBot="1" x14ac:dyDescent="0.3">
      <c r="A6" s="7" t="s">
        <v>13</v>
      </c>
      <c r="B6" s="8">
        <v>-448833.62</v>
      </c>
      <c r="C6" s="8">
        <f t="shared" ref="C6:M6" si="8">B46</f>
        <v>-435318.21</v>
      </c>
      <c r="D6" s="8">
        <f t="shared" si="8"/>
        <v>-443585.82000000007</v>
      </c>
      <c r="E6" s="8">
        <f t="shared" si="8"/>
        <v>-433692.50000000006</v>
      </c>
      <c r="F6" s="8">
        <f t="shared" si="8"/>
        <v>-441866.9200000001</v>
      </c>
      <c r="G6" s="8">
        <f t="shared" si="8"/>
        <v>-451425.70000000013</v>
      </c>
      <c r="H6" s="8">
        <f t="shared" si="8"/>
        <v>-466329.14000000013</v>
      </c>
      <c r="I6" s="8">
        <f t="shared" si="8"/>
        <v>-475368.02560000017</v>
      </c>
      <c r="J6" s="8">
        <f t="shared" si="8"/>
        <v>-464239.34560000012</v>
      </c>
      <c r="K6" s="8">
        <f t="shared" si="8"/>
        <v>-478680.51560000016</v>
      </c>
      <c r="L6" s="8">
        <f t="shared" si="8"/>
        <v>-493732.44560000015</v>
      </c>
      <c r="M6" s="8">
        <f t="shared" si="8"/>
        <v>-484497.71560000017</v>
      </c>
      <c r="N6" s="8">
        <f>B6</f>
        <v>-448833.62</v>
      </c>
    </row>
    <row r="7" spans="1:18" ht="20.25" customHeight="1" thickBot="1" x14ac:dyDescent="0.3">
      <c r="A7" s="9" t="s">
        <v>12</v>
      </c>
      <c r="B7" s="10">
        <f t="shared" ref="B7:M7" si="9">SUM(B8:B15)</f>
        <v>95799.530000000013</v>
      </c>
      <c r="C7" s="10">
        <f t="shared" si="9"/>
        <v>93098.35</v>
      </c>
      <c r="D7" s="10">
        <f t="shared" si="9"/>
        <v>97834.49</v>
      </c>
      <c r="E7" s="10">
        <f t="shared" si="9"/>
        <v>89160.77</v>
      </c>
      <c r="F7" s="10">
        <f t="shared" si="9"/>
        <v>89160.77</v>
      </c>
      <c r="G7" s="10">
        <f t="shared" si="9"/>
        <v>92876.41</v>
      </c>
      <c r="H7" s="10">
        <f t="shared" si="9"/>
        <v>95135.890000000014</v>
      </c>
      <c r="I7" s="10">
        <f>SUM(I8:I15)</f>
        <v>92975.3</v>
      </c>
      <c r="J7" s="10">
        <f t="shared" si="9"/>
        <v>94707.49000000002</v>
      </c>
      <c r="K7" s="10">
        <f t="shared" si="9"/>
        <v>95098.82</v>
      </c>
      <c r="L7" s="10">
        <f t="shared" si="9"/>
        <v>103627.54000000001</v>
      </c>
      <c r="M7" s="10">
        <f t="shared" si="9"/>
        <v>101131.63</v>
      </c>
      <c r="N7" s="10">
        <f>SUM(B7:M7)</f>
        <v>1140606.9900000002</v>
      </c>
    </row>
    <row r="8" spans="1:18" ht="24.75" customHeight="1" thickBot="1" x14ac:dyDescent="0.3">
      <c r="A8" s="4" t="s">
        <v>29</v>
      </c>
      <c r="B8" s="11">
        <f t="shared" ref="B8:G8" si="10">75881.32+1323.46</f>
        <v>77204.780000000013</v>
      </c>
      <c r="C8" s="11">
        <f t="shared" si="10"/>
        <v>77204.780000000013</v>
      </c>
      <c r="D8" s="11">
        <f t="shared" si="10"/>
        <v>77204.780000000013</v>
      </c>
      <c r="E8" s="11">
        <f t="shared" si="10"/>
        <v>77204.780000000013</v>
      </c>
      <c r="F8" s="11">
        <f t="shared" si="10"/>
        <v>77204.780000000013</v>
      </c>
      <c r="G8" s="11">
        <f t="shared" si="10"/>
        <v>77204.780000000013</v>
      </c>
      <c r="H8" s="11">
        <f t="shared" ref="H8:M8" si="11">75881.32+1323.46</f>
        <v>77204.780000000013</v>
      </c>
      <c r="I8" s="11">
        <f t="shared" si="11"/>
        <v>77204.780000000013</v>
      </c>
      <c r="J8" s="11">
        <f t="shared" si="11"/>
        <v>77204.780000000013</v>
      </c>
      <c r="K8" s="11">
        <f t="shared" si="11"/>
        <v>77204.780000000013</v>
      </c>
      <c r="L8" s="11">
        <f t="shared" si="11"/>
        <v>77204.780000000013</v>
      </c>
      <c r="M8" s="11">
        <f t="shared" si="11"/>
        <v>77204.780000000013</v>
      </c>
      <c r="N8" s="11">
        <f t="shared" ref="N8:N15" si="12">SUM(B8:M8)</f>
        <v>926457.36000000022</v>
      </c>
    </row>
    <row r="9" spans="1:18" ht="24.75" customHeight="1" thickBot="1" x14ac:dyDescent="0.3">
      <c r="A9" s="4" t="s">
        <v>17</v>
      </c>
      <c r="B9" s="11">
        <f t="shared" ref="B9:J9" si="13">2006.57+2801.16</f>
        <v>4807.7299999999996</v>
      </c>
      <c r="C9" s="11">
        <f t="shared" si="13"/>
        <v>4807.7299999999996</v>
      </c>
      <c r="D9" s="11">
        <f t="shared" si="13"/>
        <v>4807.7299999999996</v>
      </c>
      <c r="E9" s="11">
        <f t="shared" si="13"/>
        <v>4807.7299999999996</v>
      </c>
      <c r="F9" s="11">
        <f t="shared" si="13"/>
        <v>4807.7299999999996</v>
      </c>
      <c r="G9" s="11">
        <f t="shared" si="13"/>
        <v>4807.7299999999996</v>
      </c>
      <c r="H9" s="11">
        <f t="shared" si="13"/>
        <v>4807.7299999999996</v>
      </c>
      <c r="I9" s="11">
        <f t="shared" si="13"/>
        <v>4807.7299999999996</v>
      </c>
      <c r="J9" s="11">
        <f t="shared" si="13"/>
        <v>4807.7299999999996</v>
      </c>
      <c r="K9" s="11">
        <f>2006.57+2801.16</f>
        <v>4807.7299999999996</v>
      </c>
      <c r="L9" s="11">
        <f>2006.57+2801.16</f>
        <v>4807.7299999999996</v>
      </c>
      <c r="M9" s="11">
        <f>2006.57+2801.16</f>
        <v>4807.7299999999996</v>
      </c>
      <c r="N9" s="11">
        <f t="shared" si="12"/>
        <v>57692.75999999998</v>
      </c>
    </row>
    <row r="10" spans="1:18" ht="24.75" customHeight="1" thickBot="1" x14ac:dyDescent="0.3">
      <c r="A10" s="4" t="s">
        <v>18</v>
      </c>
      <c r="B10" s="11">
        <f>6213.76+164.52</f>
        <v>6378.2800000000007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f>2111.62+55.74</f>
        <v>2167.3599999999997</v>
      </c>
      <c r="I10" s="11">
        <v>0</v>
      </c>
      <c r="J10" s="11">
        <v>0</v>
      </c>
      <c r="K10" s="11">
        <v>0</v>
      </c>
      <c r="L10" s="11">
        <v>7609.76</v>
      </c>
      <c r="M10" s="11">
        <f>10284.59+271.5</f>
        <v>10556.09</v>
      </c>
      <c r="N10" s="11">
        <f t="shared" si="12"/>
        <v>26711.489999999998</v>
      </c>
    </row>
    <row r="11" spans="1:18" ht="24.75" customHeight="1" thickBot="1" x14ac:dyDescent="0.3">
      <c r="A11" s="4" t="s">
        <v>19</v>
      </c>
      <c r="B11" s="11">
        <f>219.88+5.39</f>
        <v>225.26999999999998</v>
      </c>
      <c r="C11" s="11">
        <f>219.88+5.39</f>
        <v>225.26999999999998</v>
      </c>
      <c r="D11" s="11">
        <f>219.89+5.39</f>
        <v>225.27999999999997</v>
      </c>
      <c r="E11" s="11">
        <f>219.89+5.39</f>
        <v>225.27999999999997</v>
      </c>
      <c r="F11" s="11">
        <f>219.89+5.39</f>
        <v>225.27999999999997</v>
      </c>
      <c r="G11" s="11">
        <f>219.89+5.39</f>
        <v>225.27999999999997</v>
      </c>
      <c r="H11" s="11">
        <f>242.9+6.43</f>
        <v>249.33</v>
      </c>
      <c r="I11" s="11">
        <v>242.9</v>
      </c>
      <c r="J11" s="11">
        <f>242.9+6.43</f>
        <v>249.33</v>
      </c>
      <c r="K11" s="11">
        <f>242.9+6.29</f>
        <v>249.19</v>
      </c>
      <c r="L11" s="11">
        <f>242.9+6.29</f>
        <v>249.19</v>
      </c>
      <c r="M11" s="11">
        <f>242.9+6.29</f>
        <v>249.19</v>
      </c>
      <c r="N11" s="11">
        <f t="shared" si="12"/>
        <v>2840.79</v>
      </c>
    </row>
    <row r="12" spans="1:18" ht="24.75" customHeight="1" thickBot="1" x14ac:dyDescent="0.3">
      <c r="A12" s="4" t="s">
        <v>20</v>
      </c>
      <c r="B12" s="11">
        <f>254.2+6.29</f>
        <v>260.49</v>
      </c>
      <c r="C12" s="11">
        <v>3937.59</v>
      </c>
      <c r="D12" s="11">
        <f>8450.77+222.95</f>
        <v>8673.7200000000012</v>
      </c>
      <c r="E12" s="11">
        <v>0</v>
      </c>
      <c r="F12" s="11">
        <v>0</v>
      </c>
      <c r="G12" s="11">
        <v>0</v>
      </c>
      <c r="H12" s="11">
        <v>0</v>
      </c>
      <c r="I12" s="11">
        <v>26.16</v>
      </c>
      <c r="J12" s="11">
        <f>1694.01+44.95</f>
        <v>1738.96</v>
      </c>
      <c r="K12" s="11">
        <f>2075.85+54.84</f>
        <v>2130.69</v>
      </c>
      <c r="L12" s="11">
        <f>3215.64+85.41</f>
        <v>3301.0499999999997</v>
      </c>
      <c r="M12" s="11">
        <v>0</v>
      </c>
      <c r="N12" s="11">
        <f t="shared" si="12"/>
        <v>20068.66</v>
      </c>
    </row>
    <row r="13" spans="1:18" ht="24.75" customHeight="1" thickBot="1" x14ac:dyDescent="0.3">
      <c r="A13" s="4" t="s">
        <v>27</v>
      </c>
      <c r="B13" s="11">
        <f t="shared" ref="B13:G13" si="14">424.27+10.79</f>
        <v>435.06</v>
      </c>
      <c r="C13" s="11">
        <f t="shared" si="14"/>
        <v>435.06</v>
      </c>
      <c r="D13" s="11">
        <f t="shared" si="14"/>
        <v>435.06</v>
      </c>
      <c r="E13" s="11">
        <f t="shared" si="14"/>
        <v>435.06</v>
      </c>
      <c r="F13" s="11">
        <f t="shared" si="14"/>
        <v>435.06</v>
      </c>
      <c r="G13" s="11">
        <f t="shared" si="14"/>
        <v>435.06</v>
      </c>
      <c r="H13" s="11">
        <f>490.17+12.96</f>
        <v>503.13</v>
      </c>
      <c r="I13" s="11">
        <v>490.17</v>
      </c>
      <c r="J13" s="11">
        <f>490.17+12.96</f>
        <v>503.13</v>
      </c>
      <c r="K13" s="11">
        <f>490.17+12.7</f>
        <v>502.87</v>
      </c>
      <c r="L13" s="11">
        <f>245.18+6.29</f>
        <v>251.47</v>
      </c>
      <c r="M13" s="11">
        <v>-1889.72</v>
      </c>
      <c r="N13" s="11">
        <f t="shared" si="12"/>
        <v>2971.41</v>
      </c>
    </row>
    <row r="14" spans="1:18" ht="24.75" customHeight="1" thickBot="1" x14ac:dyDescent="0.3">
      <c r="A14" s="4" t="s">
        <v>43</v>
      </c>
      <c r="B14" s="11">
        <v>5617.92</v>
      </c>
      <c r="C14" s="11">
        <v>5617.92</v>
      </c>
      <c r="D14" s="11">
        <v>5617.92</v>
      </c>
      <c r="E14" s="11">
        <v>5617.92</v>
      </c>
      <c r="F14" s="11">
        <v>5617.92</v>
      </c>
      <c r="G14" s="11">
        <v>9333.56</v>
      </c>
      <c r="H14" s="11">
        <v>9333.56</v>
      </c>
      <c r="I14" s="11">
        <v>9333.56</v>
      </c>
      <c r="J14" s="11">
        <v>9333.56</v>
      </c>
      <c r="K14" s="11">
        <v>9333.56</v>
      </c>
      <c r="L14" s="11">
        <v>9333.56</v>
      </c>
      <c r="M14" s="11">
        <v>9333.56</v>
      </c>
      <c r="N14" s="11">
        <f t="shared" si="12"/>
        <v>93424.51999999999</v>
      </c>
    </row>
    <row r="15" spans="1:18" ht="24.75" customHeight="1" thickBot="1" x14ac:dyDescent="0.3">
      <c r="A15" s="4" t="s">
        <v>15</v>
      </c>
      <c r="B15" s="11">
        <v>870</v>
      </c>
      <c r="C15" s="11">
        <v>870</v>
      </c>
      <c r="D15" s="11">
        <v>870</v>
      </c>
      <c r="E15" s="11">
        <v>870</v>
      </c>
      <c r="F15" s="11">
        <v>870</v>
      </c>
      <c r="G15" s="11">
        <v>870</v>
      </c>
      <c r="H15" s="11">
        <v>870</v>
      </c>
      <c r="I15" s="11">
        <v>870</v>
      </c>
      <c r="J15" s="11">
        <v>870</v>
      </c>
      <c r="K15" s="11">
        <v>870</v>
      </c>
      <c r="L15" s="11">
        <v>870</v>
      </c>
      <c r="M15" s="11">
        <v>870</v>
      </c>
      <c r="N15" s="11">
        <f t="shared" si="12"/>
        <v>10440</v>
      </c>
    </row>
    <row r="16" spans="1:18" ht="20.25" customHeight="1" thickBot="1" x14ac:dyDescent="0.3">
      <c r="A16" s="12" t="s">
        <v>8</v>
      </c>
      <c r="B16" s="13">
        <f t="shared" ref="B16:M16" si="15">SUM(B17:B24)</f>
        <v>109314.94000000002</v>
      </c>
      <c r="C16" s="13">
        <f t="shared" si="15"/>
        <v>84830.739999999991</v>
      </c>
      <c r="D16" s="13">
        <f t="shared" si="15"/>
        <v>107727.81000000001</v>
      </c>
      <c r="E16" s="13">
        <f t="shared" si="15"/>
        <v>80986.349999999991</v>
      </c>
      <c r="F16" s="13">
        <f t="shared" si="15"/>
        <v>79601.990000000005</v>
      </c>
      <c r="G16" s="13">
        <f t="shared" si="15"/>
        <v>77972.970000000016</v>
      </c>
      <c r="H16" s="13">
        <f t="shared" si="15"/>
        <v>86097.004400000005</v>
      </c>
      <c r="I16" s="13">
        <f t="shared" si="15"/>
        <v>81833.83</v>
      </c>
      <c r="J16" s="13">
        <f t="shared" si="15"/>
        <v>80266.320000000022</v>
      </c>
      <c r="K16" s="13">
        <f t="shared" si="15"/>
        <v>80046.889999999985</v>
      </c>
      <c r="L16" s="13">
        <f t="shared" si="15"/>
        <v>92914.599999999991</v>
      </c>
      <c r="M16" s="13">
        <f t="shared" si="15"/>
        <v>93208.340000000011</v>
      </c>
      <c r="N16" s="13">
        <f>SUM(B16:M16)</f>
        <v>1054801.7844</v>
      </c>
    </row>
    <row r="17" spans="1:15" ht="24" customHeight="1" thickBot="1" x14ac:dyDescent="0.3">
      <c r="A17" s="4" t="s">
        <v>29</v>
      </c>
      <c r="B17" s="11">
        <f>79510.25+1179.63</f>
        <v>80689.88</v>
      </c>
      <c r="C17" s="11">
        <f>68466.65+1218.78</f>
        <v>69685.429999999993</v>
      </c>
      <c r="D17" s="11">
        <f>89231.27+1663.48</f>
        <v>90894.75</v>
      </c>
      <c r="E17" s="11">
        <f>64575.82+1157.61</f>
        <v>65733.429999999993</v>
      </c>
      <c r="F17" s="11">
        <f>69126.31+1321.01</f>
        <v>70447.319999999992</v>
      </c>
      <c r="G17" s="11">
        <f>68443.01+1214.15</f>
        <v>69657.159999999989</v>
      </c>
      <c r="H17" s="11">
        <f>68723.69+1257.55</f>
        <v>69981.240000000005</v>
      </c>
      <c r="I17" s="11">
        <f>68158.7+1203.72</f>
        <v>69362.42</v>
      </c>
      <c r="J17" s="11">
        <f>65605.53+1168.8</f>
        <v>66774.33</v>
      </c>
      <c r="K17" s="11">
        <f>65409.1+1182.46</f>
        <v>66591.56</v>
      </c>
      <c r="L17" s="11">
        <f>76815.69+1392.23</f>
        <v>78207.92</v>
      </c>
      <c r="M17" s="11">
        <f>75885.39+1358.23</f>
        <v>77243.62</v>
      </c>
      <c r="N17" s="11">
        <f t="shared" ref="N17:N23" si="16">SUM(B17:M17)</f>
        <v>875269.06</v>
      </c>
    </row>
    <row r="18" spans="1:15" ht="26.25" customHeight="1" thickBot="1" x14ac:dyDescent="0.3">
      <c r="A18" s="4" t="s">
        <v>17</v>
      </c>
      <c r="B18" s="11">
        <v>2006.57</v>
      </c>
      <c r="C18" s="11">
        <v>2006.57</v>
      </c>
      <c r="D18" s="11">
        <v>2006.57</v>
      </c>
      <c r="E18" s="11">
        <v>2006.57</v>
      </c>
      <c r="F18" s="11">
        <f>2006.57</f>
        <v>2006.57</v>
      </c>
      <c r="G18" s="11">
        <f>2006.57</f>
        <v>2006.57</v>
      </c>
      <c r="H18" s="11">
        <f>2006.57*2</f>
        <v>4013.14</v>
      </c>
      <c r="I18" s="11">
        <v>0</v>
      </c>
      <c r="J18" s="11">
        <f>2006.57*2</f>
        <v>4013.14</v>
      </c>
      <c r="K18" s="11">
        <v>2006.57</v>
      </c>
      <c r="L18" s="11">
        <v>2006.57</v>
      </c>
      <c r="M18" s="11">
        <v>2006.57</v>
      </c>
      <c r="N18" s="11">
        <f t="shared" si="16"/>
        <v>26085.41</v>
      </c>
    </row>
    <row r="19" spans="1:15" ht="26.25" customHeight="1" thickBot="1" x14ac:dyDescent="0.3">
      <c r="A19" s="4" t="s">
        <v>18</v>
      </c>
      <c r="B19" s="11">
        <f>15197.9+272.4</f>
        <v>15470.3</v>
      </c>
      <c r="C19" s="11">
        <f>6040.25+462.09</f>
        <v>6502.34</v>
      </c>
      <c r="D19" s="11">
        <f>1058.9+164.52</f>
        <v>1223.42</v>
      </c>
      <c r="E19" s="11">
        <v>29.41</v>
      </c>
      <c r="F19" s="11">
        <v>53.52</v>
      </c>
      <c r="G19" s="11">
        <v>21.16</v>
      </c>
      <c r="H19" s="11">
        <v>16.89</v>
      </c>
      <c r="I19" s="11">
        <v>1860.64</v>
      </c>
      <c r="J19" s="11">
        <f>91.25+55.74</f>
        <v>146.99</v>
      </c>
      <c r="K19" s="11">
        <v>0</v>
      </c>
      <c r="L19" s="11">
        <v>35.840000000000003</v>
      </c>
      <c r="M19" s="11">
        <v>0</v>
      </c>
      <c r="N19" s="11">
        <f t="shared" si="16"/>
        <v>25360.51</v>
      </c>
    </row>
    <row r="20" spans="1:15" ht="26.25" customHeight="1" thickBot="1" x14ac:dyDescent="0.3">
      <c r="A20" s="4" t="s">
        <v>19</v>
      </c>
      <c r="B20" s="11">
        <f>455.62+5.39</f>
        <v>461.01</v>
      </c>
      <c r="C20" s="11">
        <f>205.23+5.39</f>
        <v>210.61999999999998</v>
      </c>
      <c r="D20" s="11">
        <f>672.7+5.39</f>
        <v>678.09</v>
      </c>
      <c r="E20" s="11">
        <f>189.54+5.39</f>
        <v>194.92999999999998</v>
      </c>
      <c r="F20" s="11">
        <f>206.11+5.39</f>
        <v>211.5</v>
      </c>
      <c r="G20" s="11">
        <f>200.11+5.39</f>
        <v>205.5</v>
      </c>
      <c r="H20" s="11">
        <f>200.98*5.39*2</f>
        <v>2166.5643999999998</v>
      </c>
      <c r="I20" s="11">
        <v>219.55</v>
      </c>
      <c r="J20" s="11">
        <f>211.14+6.43*2</f>
        <v>224</v>
      </c>
      <c r="K20" s="11">
        <f>209.25+6.29</f>
        <v>215.54</v>
      </c>
      <c r="L20" s="11">
        <f>244.4+6.29</f>
        <v>250.69</v>
      </c>
      <c r="M20" s="11">
        <f>237.45+6.29</f>
        <v>243.73999999999998</v>
      </c>
      <c r="N20" s="11">
        <f t="shared" si="16"/>
        <v>5281.7343999999994</v>
      </c>
    </row>
    <row r="21" spans="1:15" ht="26.25" customHeight="1" thickBot="1" x14ac:dyDescent="0.3">
      <c r="A21" s="4" t="s">
        <v>20</v>
      </c>
      <c r="B21" s="11">
        <v>1897.85</v>
      </c>
      <c r="C21" s="11">
        <f>359.11+41.35</f>
        <v>400.46000000000004</v>
      </c>
      <c r="D21" s="11">
        <f>4112.96+6.29</f>
        <v>4119.25</v>
      </c>
      <c r="E21" s="11">
        <f>7149.55+104.28</f>
        <v>7253.83</v>
      </c>
      <c r="F21" s="11">
        <f>412.79+222.95</f>
        <v>635.74</v>
      </c>
      <c r="G21" s="11">
        <v>68.38</v>
      </c>
      <c r="H21" s="11">
        <v>20.72</v>
      </c>
      <c r="I21" s="11">
        <v>21.03</v>
      </c>
      <c r="J21" s="11">
        <v>35.49</v>
      </c>
      <c r="K21" s="11">
        <f>1441.09+44.95</f>
        <v>1486.04</v>
      </c>
      <c r="L21" s="11">
        <f>1983.08+54.84</f>
        <v>2037.9199999999998</v>
      </c>
      <c r="M21" s="11">
        <f>2935.11+85.41</f>
        <v>3020.52</v>
      </c>
      <c r="N21" s="11">
        <f t="shared" si="16"/>
        <v>20997.229999999996</v>
      </c>
    </row>
    <row r="22" spans="1:15" ht="26.25" customHeight="1" thickBot="1" x14ac:dyDescent="0.3">
      <c r="A22" s="4" t="s">
        <v>27</v>
      </c>
      <c r="B22" s="11">
        <f>591.02+10.79</f>
        <v>601.80999999999995</v>
      </c>
      <c r="C22" s="11">
        <f>384.71+10.79</f>
        <v>395.5</v>
      </c>
      <c r="D22" s="11">
        <f>593.81+10.79</f>
        <v>604.59999999999991</v>
      </c>
      <c r="E22" s="11">
        <f>361.72+10.79</f>
        <v>372.51000000000005</v>
      </c>
      <c r="F22" s="11">
        <f>388.13+10.79</f>
        <v>398.92</v>
      </c>
      <c r="G22" s="11">
        <f>383.2+10.79</f>
        <v>393.99</v>
      </c>
      <c r="H22" s="11">
        <f>384.7+10.79*2</f>
        <v>406.28</v>
      </c>
      <c r="I22" s="11">
        <v>439.27</v>
      </c>
      <c r="J22" s="11">
        <f>423.57+12.96*2</f>
        <v>449.49</v>
      </c>
      <c r="K22" s="11">
        <f>422.08+6.29</f>
        <v>428.37</v>
      </c>
      <c r="L22" s="11">
        <f>491.81+12.7</f>
        <v>504.51</v>
      </c>
      <c r="M22" s="11">
        <f>232.49+6.29</f>
        <v>238.78</v>
      </c>
      <c r="N22" s="11">
        <f t="shared" si="16"/>
        <v>5234.03</v>
      </c>
    </row>
    <row r="23" spans="1:15" ht="26.25" customHeight="1" thickBot="1" x14ac:dyDescent="0.3">
      <c r="A23" s="4" t="s">
        <v>43</v>
      </c>
      <c r="B23" s="11">
        <v>5987.52</v>
      </c>
      <c r="C23" s="11">
        <v>5029.82</v>
      </c>
      <c r="D23" s="11">
        <v>7601.13</v>
      </c>
      <c r="E23" s="11">
        <v>4795.67</v>
      </c>
      <c r="F23" s="11">
        <v>5248.42</v>
      </c>
      <c r="G23" s="11">
        <v>5020.21</v>
      </c>
      <c r="H23" s="11">
        <v>8492.17</v>
      </c>
      <c r="I23" s="11">
        <v>8280.92</v>
      </c>
      <c r="J23" s="11">
        <v>8022.88</v>
      </c>
      <c r="K23" s="11">
        <v>8118.81</v>
      </c>
      <c r="L23" s="11">
        <v>9271.15</v>
      </c>
      <c r="M23" s="11">
        <v>8655.11</v>
      </c>
      <c r="N23" s="11">
        <f t="shared" si="16"/>
        <v>84523.809999999983</v>
      </c>
    </row>
    <row r="24" spans="1:15" ht="26.25" customHeight="1" thickBot="1" x14ac:dyDescent="0.3">
      <c r="A24" s="4" t="s">
        <v>15</v>
      </c>
      <c r="B24" s="14">
        <v>2200</v>
      </c>
      <c r="C24" s="14">
        <v>600</v>
      </c>
      <c r="D24" s="14">
        <v>600</v>
      </c>
      <c r="E24" s="14">
        <v>600</v>
      </c>
      <c r="F24" s="14">
        <v>600</v>
      </c>
      <c r="G24" s="14">
        <v>600</v>
      </c>
      <c r="H24" s="14">
        <v>1000</v>
      </c>
      <c r="I24" s="14">
        <v>1650</v>
      </c>
      <c r="J24" s="14">
        <v>600</v>
      </c>
      <c r="K24" s="11">
        <v>1200</v>
      </c>
      <c r="L24" s="11">
        <v>600</v>
      </c>
      <c r="M24" s="11">
        <v>1800</v>
      </c>
      <c r="N24" s="11">
        <f>SUM(B24:M24)</f>
        <v>12050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3615.1*0.6</f>
        <v>2169.06</v>
      </c>
      <c r="C26" s="11">
        <f t="shared" ref="C26:M26" si="17">3615.1*0.6</f>
        <v>2169.06</v>
      </c>
      <c r="D26" s="11">
        <f t="shared" si="17"/>
        <v>2169.06</v>
      </c>
      <c r="E26" s="11">
        <f t="shared" si="17"/>
        <v>2169.06</v>
      </c>
      <c r="F26" s="11">
        <f t="shared" si="17"/>
        <v>2169.06</v>
      </c>
      <c r="G26" s="11">
        <f t="shared" si="17"/>
        <v>2169.06</v>
      </c>
      <c r="H26" s="11">
        <f t="shared" si="17"/>
        <v>2169.06</v>
      </c>
      <c r="I26" s="11">
        <f t="shared" si="17"/>
        <v>2169.06</v>
      </c>
      <c r="J26" s="11">
        <f t="shared" si="17"/>
        <v>2169.06</v>
      </c>
      <c r="K26" s="11">
        <f t="shared" si="17"/>
        <v>2169.06</v>
      </c>
      <c r="L26" s="11">
        <f t="shared" si="17"/>
        <v>2169.06</v>
      </c>
      <c r="M26" s="11">
        <f t="shared" si="17"/>
        <v>2169.06</v>
      </c>
      <c r="N26" s="11">
        <f>SUM(B26:M26)</f>
        <v>26028.720000000005</v>
      </c>
    </row>
    <row r="27" spans="1:15" ht="22.5" customHeight="1" thickBot="1" x14ac:dyDescent="0.3">
      <c r="A27" s="4" t="s">
        <v>2</v>
      </c>
      <c r="B27" s="11">
        <f>3615.1*0.17</f>
        <v>614.56700000000001</v>
      </c>
      <c r="C27" s="11">
        <f t="shared" ref="C27:M27" si="18">3615.1*0.17</f>
        <v>614.56700000000001</v>
      </c>
      <c r="D27" s="11">
        <f t="shared" si="18"/>
        <v>614.56700000000001</v>
      </c>
      <c r="E27" s="11">
        <f t="shared" si="18"/>
        <v>614.56700000000001</v>
      </c>
      <c r="F27" s="11">
        <f t="shared" si="18"/>
        <v>614.56700000000001</v>
      </c>
      <c r="G27" s="11">
        <f t="shared" si="18"/>
        <v>614.56700000000001</v>
      </c>
      <c r="H27" s="11">
        <f t="shared" si="18"/>
        <v>614.56700000000001</v>
      </c>
      <c r="I27" s="11">
        <f t="shared" si="18"/>
        <v>614.56700000000001</v>
      </c>
      <c r="J27" s="11">
        <f t="shared" si="18"/>
        <v>614.56700000000001</v>
      </c>
      <c r="K27" s="11">
        <f t="shared" si="18"/>
        <v>614.56700000000001</v>
      </c>
      <c r="L27" s="11">
        <f t="shared" si="18"/>
        <v>614.56700000000001</v>
      </c>
      <c r="M27" s="11">
        <f t="shared" si="18"/>
        <v>614.56700000000001</v>
      </c>
      <c r="N27" s="11">
        <f>SUM(B27:M27)</f>
        <v>7374.8040000000001</v>
      </c>
    </row>
    <row r="28" spans="1:15" ht="21" customHeight="1" thickBot="1" x14ac:dyDescent="0.3">
      <c r="A28" s="4" t="s">
        <v>3</v>
      </c>
      <c r="B28" s="11">
        <f>89934.81*2.3%</f>
        <v>2068.50063</v>
      </c>
      <c r="C28" s="11">
        <f>87404.44*2.3%</f>
        <v>2010.3021200000001</v>
      </c>
      <c r="D28" s="11">
        <f>91917.63*2.3%</f>
        <v>2114.1054899999999</v>
      </c>
      <c r="E28" s="11">
        <f>83466.86*2.3%</f>
        <v>1919.7377799999999</v>
      </c>
      <c r="F28" s="11">
        <f>83466.86*2.3%</f>
        <v>1919.7377799999999</v>
      </c>
      <c r="G28" s="11">
        <f>87182.5*2.3%</f>
        <v>2005.1975</v>
      </c>
      <c r="H28" s="11">
        <f>89383.03*2.3%</f>
        <v>2055.80969</v>
      </c>
      <c r="I28" s="11">
        <f>87297.57*2.3%</f>
        <v>2007.8441100000002</v>
      </c>
      <c r="J28" s="11">
        <f>88965.42*2.3%</f>
        <v>2046.2046599999999</v>
      </c>
      <c r="K28" s="11">
        <f>89347.26*2.3%</f>
        <v>2054.9869799999997</v>
      </c>
      <c r="L28" s="11">
        <f>97851.82*2.3%</f>
        <v>2250.59186</v>
      </c>
      <c r="M28" s="11">
        <f>95176.11*2.3%</f>
        <v>2189.05053</v>
      </c>
      <c r="N28" s="11">
        <f t="shared" ref="N28:N41" si="19">SUM(B28:M28)</f>
        <v>24642.069130000003</v>
      </c>
    </row>
    <row r="29" spans="1:15" ht="23.25" customHeight="1" thickBot="1" x14ac:dyDescent="0.3">
      <c r="A29" s="4" t="s">
        <v>4</v>
      </c>
      <c r="B29" s="11">
        <f>104819.79*3%</f>
        <v>3144.5936999999999</v>
      </c>
      <c r="C29" s="11">
        <f>81704.55*3%</f>
        <v>2451.1365000000001</v>
      </c>
      <c r="D29" s="11">
        <f>104934.25*3%</f>
        <v>3148.0274999999997</v>
      </c>
      <c r="E29" s="11">
        <f>78259.32*3%</f>
        <v>2347.7796000000003</v>
      </c>
      <c r="F29" s="11">
        <f>76756.29*3%</f>
        <v>2302.6886999999997</v>
      </c>
      <c r="G29" s="11">
        <f>75350.22*3%</f>
        <v>2260.5066000000002</v>
      </c>
      <c r="H29" s="11">
        <f>79096.7*3%</f>
        <v>2372.9009999999998</v>
      </c>
      <c r="I29" s="11">
        <f>80183.83*3%</f>
        <v>2405.5149000000001</v>
      </c>
      <c r="J29" s="11">
        <f>75558.66*3%</f>
        <v>2266.7597999999998</v>
      </c>
      <c r="K29" s="11">
        <f>76782.79*3%</f>
        <v>2303.4836999999998</v>
      </c>
      <c r="L29" s="11">
        <f>90234.2*3%</f>
        <v>2707.0259999999998</v>
      </c>
      <c r="M29" s="11">
        <f>89303.78*3%</f>
        <v>2679.1133999999997</v>
      </c>
      <c r="N29" s="11">
        <f t="shared" si="19"/>
        <v>30389.531400000003</v>
      </c>
    </row>
    <row r="30" spans="1:15" ht="23.25" customHeight="1" thickBot="1" x14ac:dyDescent="0.3">
      <c r="A30" s="4" t="s">
        <v>9</v>
      </c>
      <c r="B30" s="21">
        <f>3615.1*9.7</f>
        <v>35066.469999999994</v>
      </c>
      <c r="C30" s="21">
        <f t="shared" ref="C30:M30" si="20">3615.1*9.7</f>
        <v>35066.469999999994</v>
      </c>
      <c r="D30" s="21">
        <f t="shared" si="20"/>
        <v>35066.469999999994</v>
      </c>
      <c r="E30" s="21">
        <f t="shared" si="20"/>
        <v>35066.469999999994</v>
      </c>
      <c r="F30" s="21">
        <f t="shared" si="20"/>
        <v>35066.469999999994</v>
      </c>
      <c r="G30" s="21">
        <f t="shared" si="20"/>
        <v>35066.469999999994</v>
      </c>
      <c r="H30" s="21">
        <f t="shared" si="20"/>
        <v>35066.469999999994</v>
      </c>
      <c r="I30" s="21">
        <f t="shared" si="20"/>
        <v>35066.469999999994</v>
      </c>
      <c r="J30" s="21">
        <f t="shared" si="20"/>
        <v>35066.469999999994</v>
      </c>
      <c r="K30" s="21">
        <f t="shared" si="20"/>
        <v>35066.469999999994</v>
      </c>
      <c r="L30" s="21">
        <f t="shared" si="20"/>
        <v>35066.469999999994</v>
      </c>
      <c r="M30" s="21">
        <f t="shared" si="20"/>
        <v>35066.469999999994</v>
      </c>
      <c r="N30" s="11">
        <f t="shared" si="19"/>
        <v>420797.63999999984</v>
      </c>
    </row>
    <row r="31" spans="1:15" ht="26.25" customHeight="1" thickBot="1" x14ac:dyDescent="0.3">
      <c r="A31" s="4" t="s">
        <v>21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f>1992.05+253.4</f>
        <v>2245.4499999999998</v>
      </c>
      <c r="H31" s="11">
        <v>0</v>
      </c>
      <c r="I31" s="11">
        <v>0</v>
      </c>
      <c r="J31" s="11">
        <v>0</v>
      </c>
      <c r="K31" s="11">
        <f>7240.22+851.7</f>
        <v>8091.92</v>
      </c>
      <c r="L31" s="11">
        <f>9785.11+1151.05</f>
        <v>10936.16</v>
      </c>
      <c r="M31" s="11">
        <f>5535.29+651.14</f>
        <v>6186.43</v>
      </c>
      <c r="N31" s="11">
        <f t="shared" si="19"/>
        <v>27459.96</v>
      </c>
    </row>
    <row r="32" spans="1:15" ht="26.25" customHeight="1" thickBot="1" x14ac:dyDescent="0.3">
      <c r="A32" s="4" t="s">
        <v>22</v>
      </c>
      <c r="B32" s="11">
        <v>350.74</v>
      </c>
      <c r="C32" s="11">
        <v>350.74</v>
      </c>
      <c r="D32" s="11">
        <v>350.74</v>
      </c>
      <c r="E32" s="11">
        <v>350.74</v>
      </c>
      <c r="F32" s="11">
        <v>350.74</v>
      </c>
      <c r="G32" s="11">
        <v>350.74</v>
      </c>
      <c r="H32" s="11">
        <v>387.65</v>
      </c>
      <c r="I32" s="11">
        <v>387.65</v>
      </c>
      <c r="J32" s="11">
        <v>387.65</v>
      </c>
      <c r="K32" s="11">
        <v>387.65</v>
      </c>
      <c r="L32" s="11">
        <v>387.65</v>
      </c>
      <c r="M32" s="11">
        <v>387.65</v>
      </c>
      <c r="N32" s="11">
        <f t="shared" si="19"/>
        <v>4430.34</v>
      </c>
    </row>
    <row r="33" spans="1:14" ht="26.25" customHeight="1" thickBot="1" x14ac:dyDescent="0.3">
      <c r="A33" s="4" t="s">
        <v>23</v>
      </c>
      <c r="B33" s="11">
        <v>4187.1000000000004</v>
      </c>
      <c r="C33" s="11">
        <v>8986.2000000000007</v>
      </c>
      <c r="D33" s="11">
        <v>0</v>
      </c>
      <c r="E33" s="11">
        <v>0</v>
      </c>
      <c r="F33" s="11">
        <v>0</v>
      </c>
      <c r="G33" s="11">
        <v>0</v>
      </c>
      <c r="H33" s="11">
        <v>27.8</v>
      </c>
      <c r="I33" s="11">
        <v>1801.44</v>
      </c>
      <c r="J33" s="11">
        <v>2207.3200000000002</v>
      </c>
      <c r="K33" s="11">
        <v>0</v>
      </c>
      <c r="L33" s="11">
        <v>0</v>
      </c>
      <c r="M33" s="11">
        <v>0</v>
      </c>
      <c r="N33" s="11">
        <f t="shared" si="19"/>
        <v>17209.86</v>
      </c>
    </row>
    <row r="34" spans="1:14" ht="21.6" customHeight="1" thickBot="1" x14ac:dyDescent="0.3">
      <c r="A34" s="4" t="s">
        <v>27</v>
      </c>
      <c r="B34" s="11">
        <v>451.19</v>
      </c>
      <c r="C34" s="11">
        <v>451.19</v>
      </c>
      <c r="D34" s="11">
        <v>451.19</v>
      </c>
      <c r="E34" s="11">
        <v>451.19</v>
      </c>
      <c r="F34" s="11">
        <v>451.19</v>
      </c>
      <c r="G34" s="11">
        <v>451.19</v>
      </c>
      <c r="H34" s="11">
        <v>260.75</v>
      </c>
      <c r="I34" s="11">
        <v>260.75</v>
      </c>
      <c r="J34" s="11">
        <v>260.75</v>
      </c>
      <c r="K34" s="11">
        <v>260.75</v>
      </c>
      <c r="L34" s="11">
        <v>260.75</v>
      </c>
      <c r="M34" s="11">
        <v>260.75</v>
      </c>
      <c r="N34" s="11">
        <f t="shared" si="19"/>
        <v>4271.6399999999994</v>
      </c>
    </row>
    <row r="35" spans="1:14" ht="22.5" customHeight="1" thickBot="1" x14ac:dyDescent="0.3">
      <c r="A35" s="4" t="s">
        <v>6</v>
      </c>
      <c r="B35" s="21">
        <f>3615.1*3.35</f>
        <v>12110.584999999999</v>
      </c>
      <c r="C35" s="21">
        <f t="shared" ref="C35:M35" si="21">3615.1*3.35</f>
        <v>12110.584999999999</v>
      </c>
      <c r="D35" s="21">
        <f t="shared" si="21"/>
        <v>12110.584999999999</v>
      </c>
      <c r="E35" s="21">
        <f t="shared" si="21"/>
        <v>12110.584999999999</v>
      </c>
      <c r="F35" s="21">
        <f t="shared" si="21"/>
        <v>12110.584999999999</v>
      </c>
      <c r="G35" s="21">
        <f t="shared" si="21"/>
        <v>12110.584999999999</v>
      </c>
      <c r="H35" s="21">
        <f t="shared" si="21"/>
        <v>12110.584999999999</v>
      </c>
      <c r="I35" s="21">
        <f t="shared" si="21"/>
        <v>12110.584999999999</v>
      </c>
      <c r="J35" s="21">
        <f t="shared" si="21"/>
        <v>12110.584999999999</v>
      </c>
      <c r="K35" s="21">
        <f t="shared" si="21"/>
        <v>12110.584999999999</v>
      </c>
      <c r="L35" s="21">
        <f t="shared" si="21"/>
        <v>12110.584999999999</v>
      </c>
      <c r="M35" s="21">
        <f t="shared" si="21"/>
        <v>12110.584999999999</v>
      </c>
      <c r="N35" s="11">
        <f t="shared" si="19"/>
        <v>145327.01999999996</v>
      </c>
    </row>
    <row r="36" spans="1:14" ht="21.75" customHeight="1" thickBot="1" x14ac:dyDescent="0.3">
      <c r="A36" s="4" t="s">
        <v>43</v>
      </c>
      <c r="B36" s="11">
        <v>0</v>
      </c>
      <c r="C36" s="11">
        <v>0</v>
      </c>
      <c r="D36" s="11">
        <v>6364.63</v>
      </c>
      <c r="E36" s="11">
        <v>4331.79</v>
      </c>
      <c r="F36" s="11">
        <v>5037.91</v>
      </c>
      <c r="G36" s="11">
        <v>2990.89</v>
      </c>
      <c r="H36" s="11">
        <v>2862.15</v>
      </c>
      <c r="I36" s="11">
        <v>4840.5200000000004</v>
      </c>
      <c r="J36" s="11">
        <v>4719.6400000000003</v>
      </c>
      <c r="K36" s="11">
        <v>4573.0200000000004</v>
      </c>
      <c r="L36" s="11">
        <v>4628.17</v>
      </c>
      <c r="M36" s="11">
        <v>5283.8</v>
      </c>
      <c r="N36" s="11">
        <f t="shared" si="19"/>
        <v>45632.520000000004</v>
      </c>
    </row>
    <row r="37" spans="1:14" ht="21.75" customHeight="1" thickBot="1" x14ac:dyDescent="0.3">
      <c r="A37" s="4" t="s">
        <v>44</v>
      </c>
      <c r="B37" s="11">
        <v>0</v>
      </c>
      <c r="C37" s="11">
        <v>0</v>
      </c>
      <c r="D37" s="11">
        <f>3349.55+1451</f>
        <v>4800.55</v>
      </c>
      <c r="E37" s="11">
        <f>989+2280.34</f>
        <v>3269.34</v>
      </c>
      <c r="F37" s="11">
        <v>752</v>
      </c>
      <c r="G37" s="11">
        <f>683+1574.53</f>
        <v>2257.5299999999997</v>
      </c>
      <c r="H37" s="11">
        <f>652+1506.06</f>
        <v>2158.06</v>
      </c>
      <c r="I37" s="11">
        <f>1104+2547.65</f>
        <v>3651.65</v>
      </c>
      <c r="J37" s="11">
        <f>1077+2484.28</f>
        <v>3561.28</v>
      </c>
      <c r="K37" s="11">
        <f>1043+2406.86</f>
        <v>3449.86</v>
      </c>
      <c r="L37" s="11">
        <f>1055+2435.64</f>
        <v>3490.64</v>
      </c>
      <c r="M37" s="11">
        <f>1206+2781.35</f>
        <v>3987.35</v>
      </c>
      <c r="N37" s="11">
        <f t="shared" si="19"/>
        <v>31378.259999999995</v>
      </c>
    </row>
    <row r="38" spans="1:14" ht="22.95" customHeight="1" thickBot="1" x14ac:dyDescent="0.3">
      <c r="A38" s="4" t="s">
        <v>28</v>
      </c>
      <c r="B38" s="11">
        <v>495.67</v>
      </c>
      <c r="C38" s="11">
        <v>495.67</v>
      </c>
      <c r="D38" s="11">
        <v>495.67</v>
      </c>
      <c r="E38" s="11">
        <v>495.67</v>
      </c>
      <c r="F38" s="11">
        <v>495.67</v>
      </c>
      <c r="G38" s="11">
        <v>495.67</v>
      </c>
      <c r="H38" s="11">
        <v>495.67</v>
      </c>
      <c r="I38" s="11">
        <v>495.67</v>
      </c>
      <c r="J38" s="11">
        <v>495.67</v>
      </c>
      <c r="K38" s="11">
        <v>495.67</v>
      </c>
      <c r="L38" s="11">
        <v>495.67</v>
      </c>
      <c r="M38" s="11">
        <v>495.67</v>
      </c>
      <c r="N38" s="11">
        <f t="shared" si="19"/>
        <v>5948.04</v>
      </c>
    </row>
    <row r="39" spans="1:14" ht="24.75" customHeight="1" thickBot="1" x14ac:dyDescent="0.3">
      <c r="A39" s="4" t="s">
        <v>26</v>
      </c>
      <c r="B39" s="11">
        <v>900</v>
      </c>
      <c r="C39" s="11">
        <v>900</v>
      </c>
      <c r="D39" s="11">
        <v>900</v>
      </c>
      <c r="E39" s="11">
        <v>900</v>
      </c>
      <c r="F39" s="11">
        <v>900</v>
      </c>
      <c r="G39" s="11">
        <v>900</v>
      </c>
      <c r="H39" s="11">
        <v>900</v>
      </c>
      <c r="I39" s="11">
        <v>900</v>
      </c>
      <c r="J39" s="11">
        <v>900</v>
      </c>
      <c r="K39" s="11">
        <v>900</v>
      </c>
      <c r="L39" s="11">
        <v>900</v>
      </c>
      <c r="M39" s="11">
        <v>900</v>
      </c>
      <c r="N39" s="11">
        <f t="shared" si="19"/>
        <v>10800</v>
      </c>
    </row>
    <row r="40" spans="1:14" ht="24.75" customHeight="1" thickBot="1" x14ac:dyDescent="0.3">
      <c r="A40" s="4" t="s">
        <v>14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18862.88</v>
      </c>
      <c r="J40" s="11">
        <v>0</v>
      </c>
      <c r="K40" s="11">
        <v>0</v>
      </c>
      <c r="L40" s="11">
        <v>0</v>
      </c>
      <c r="M40" s="11">
        <v>0</v>
      </c>
      <c r="N40" s="11">
        <f t="shared" si="19"/>
        <v>18862.88</v>
      </c>
    </row>
    <row r="41" spans="1:14" ht="24" customHeight="1" thickBot="1" x14ac:dyDescent="0.3">
      <c r="A41" s="4" t="s">
        <v>10</v>
      </c>
      <c r="B41" s="11">
        <f>1416.3+2001.8+3330.5+8383.1+973.9+9100.7</f>
        <v>25206.300000000003</v>
      </c>
      <c r="C41" s="11">
        <f>2965.8+844.1+88180.46</f>
        <v>91990.36</v>
      </c>
      <c r="D41" s="11">
        <f>1046+525+12054.4+46564.7</f>
        <v>60190.1</v>
      </c>
      <c r="E41" s="11">
        <f>8098.5+764.1+654.5+9382.8</f>
        <v>18899.900000000001</v>
      </c>
      <c r="F41" s="11">
        <f>1615.9+4803+38000</f>
        <v>44418.9</v>
      </c>
      <c r="G41" s="11">
        <f>13722.4+5598.5+3290.5</f>
        <v>22611.4</v>
      </c>
      <c r="H41" s="11">
        <v>0</v>
      </c>
      <c r="I41" s="11">
        <f>38150.4</f>
        <v>38150.400000000001</v>
      </c>
      <c r="J41" s="11">
        <f>1298.5</f>
        <v>1298.5</v>
      </c>
      <c r="K41" s="11">
        <f>8249.5</f>
        <v>8249.5</v>
      </c>
      <c r="L41" s="11">
        <f>500+514.3</f>
        <v>1014.3</v>
      </c>
      <c r="M41" s="11">
        <v>0</v>
      </c>
      <c r="N41" s="11">
        <f t="shared" si="19"/>
        <v>312029.66000000003</v>
      </c>
    </row>
    <row r="42" spans="1:14" ht="22.5" customHeight="1" thickBot="1" x14ac:dyDescent="0.3">
      <c r="A42" s="9" t="s">
        <v>24</v>
      </c>
      <c r="B42" s="10">
        <f t="shared" ref="B42:M42" si="22">SUM(B26:B41)</f>
        <v>86764.776329999993</v>
      </c>
      <c r="C42" s="10">
        <f t="shared" si="22"/>
        <v>157596.28061999998</v>
      </c>
      <c r="D42" s="10">
        <f t="shared" si="22"/>
        <v>128775.69498999999</v>
      </c>
      <c r="E42" s="10">
        <f t="shared" si="22"/>
        <v>82926.829379999981</v>
      </c>
      <c r="F42" s="10">
        <f t="shared" si="22"/>
        <v>106589.51848</v>
      </c>
      <c r="G42" s="10">
        <f t="shared" si="22"/>
        <v>86529.256099999999</v>
      </c>
      <c r="H42" s="10">
        <f t="shared" si="22"/>
        <v>61481.472689999995</v>
      </c>
      <c r="I42" s="10">
        <f t="shared" si="22"/>
        <v>123725.00101000001</v>
      </c>
      <c r="J42" s="10">
        <f t="shared" si="22"/>
        <v>68104.456460000001</v>
      </c>
      <c r="K42" s="10">
        <f t="shared" si="22"/>
        <v>80727.522679999995</v>
      </c>
      <c r="L42" s="10">
        <f t="shared" si="22"/>
        <v>77031.639859999996</v>
      </c>
      <c r="M42" s="10">
        <f t="shared" si="22"/>
        <v>72330.49592999999</v>
      </c>
      <c r="N42" s="10">
        <f>SUM(B42:M42)</f>
        <v>1132582.94453</v>
      </c>
    </row>
    <row r="43" spans="1:14" ht="23.25" customHeight="1" thickBot="1" x14ac:dyDescent="0.3">
      <c r="A43" s="4" t="s">
        <v>5</v>
      </c>
      <c r="B43" s="18">
        <f t="shared" ref="B43:N43" si="23">B16-B42</f>
        <v>22550.163670000024</v>
      </c>
      <c r="C43" s="18">
        <f t="shared" si="23"/>
        <v>-72765.540619999985</v>
      </c>
      <c r="D43" s="18">
        <f t="shared" si="23"/>
        <v>-21047.884989999977</v>
      </c>
      <c r="E43" s="18">
        <f t="shared" si="23"/>
        <v>-1940.4793799999898</v>
      </c>
      <c r="F43" s="18">
        <f t="shared" si="23"/>
        <v>-26987.528479999994</v>
      </c>
      <c r="G43" s="18">
        <f t="shared" si="23"/>
        <v>-8556.286099999983</v>
      </c>
      <c r="H43" s="18">
        <f t="shared" si="23"/>
        <v>24615.53171000001</v>
      </c>
      <c r="I43" s="18">
        <f t="shared" si="23"/>
        <v>-41891.171010000005</v>
      </c>
      <c r="J43" s="18">
        <f t="shared" si="23"/>
        <v>12161.86354000002</v>
      </c>
      <c r="K43" s="18">
        <f t="shared" si="23"/>
        <v>-680.63268000000971</v>
      </c>
      <c r="L43" s="18">
        <f t="shared" si="23"/>
        <v>15882.960139999996</v>
      </c>
      <c r="M43" s="18">
        <f t="shared" si="23"/>
        <v>20877.844070000021</v>
      </c>
      <c r="N43" s="11">
        <f t="shared" si="23"/>
        <v>-77781.160129999975</v>
      </c>
    </row>
    <row r="44" spans="1:14" ht="23.25" customHeight="1" thickBot="1" x14ac:dyDescent="0.3">
      <c r="A44" s="4" t="s">
        <v>7</v>
      </c>
      <c r="B44" s="14">
        <f>B5+B43</f>
        <v>-356759.59632999997</v>
      </c>
      <c r="C44" s="19">
        <f>B44+C43</f>
        <v>-429525.13694999996</v>
      </c>
      <c r="D44" s="19">
        <f>C44+D43</f>
        <v>-450573.02193999995</v>
      </c>
      <c r="E44" s="14">
        <f>D44+E43</f>
        <v>-452513.50131999992</v>
      </c>
      <c r="F44" s="19">
        <f>E44+F43</f>
        <v>-479501.0297999999</v>
      </c>
      <c r="G44" s="19">
        <f t="shared" ref="G44:N44" si="24">G5+G43</f>
        <v>-488057.31589999987</v>
      </c>
      <c r="H44" s="19">
        <f t="shared" si="24"/>
        <v>-463441.78418999986</v>
      </c>
      <c r="I44" s="19">
        <f t="shared" si="24"/>
        <v>-505332.95519999985</v>
      </c>
      <c r="J44" s="19">
        <f t="shared" si="24"/>
        <v>-493171.0916599998</v>
      </c>
      <c r="K44" s="19">
        <f t="shared" si="24"/>
        <v>-493851.72433999984</v>
      </c>
      <c r="L44" s="19">
        <f t="shared" si="24"/>
        <v>-477968.76419999986</v>
      </c>
      <c r="M44" s="19">
        <f t="shared" si="24"/>
        <v>-457090.92012999987</v>
      </c>
      <c r="N44" s="18">
        <f t="shared" si="24"/>
        <v>-457090.92012999998</v>
      </c>
    </row>
    <row r="45" spans="1:14" ht="23.25" customHeight="1" thickBot="1" x14ac:dyDescent="0.3">
      <c r="A45" s="4" t="s">
        <v>45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22270.15</v>
      </c>
      <c r="J45" s="11">
        <v>0</v>
      </c>
      <c r="K45" s="11">
        <v>0</v>
      </c>
      <c r="L45" s="11">
        <v>19947.669999999998</v>
      </c>
      <c r="M45" s="11">
        <v>0</v>
      </c>
      <c r="N45" s="14">
        <f>SUM(B45:M45)</f>
        <v>42217.82</v>
      </c>
    </row>
    <row r="46" spans="1:14" ht="27" customHeight="1" thickBot="1" x14ac:dyDescent="0.3">
      <c r="A46" s="15" t="s">
        <v>11</v>
      </c>
      <c r="B46" s="20">
        <f t="shared" ref="B46:H46" si="25">B6+B16-B7</f>
        <v>-435318.21</v>
      </c>
      <c r="C46" s="20">
        <f t="shared" si="25"/>
        <v>-443585.82000000007</v>
      </c>
      <c r="D46" s="20">
        <f t="shared" si="25"/>
        <v>-433692.50000000006</v>
      </c>
      <c r="E46" s="20">
        <f t="shared" si="25"/>
        <v>-441866.9200000001</v>
      </c>
      <c r="F46" s="20">
        <f t="shared" si="25"/>
        <v>-451425.70000000013</v>
      </c>
      <c r="G46" s="20">
        <f t="shared" si="25"/>
        <v>-466329.14000000013</v>
      </c>
      <c r="H46" s="20">
        <f t="shared" si="25"/>
        <v>-475368.02560000017</v>
      </c>
      <c r="I46" s="20">
        <f>I6+I16-I7+I45</f>
        <v>-464239.34560000012</v>
      </c>
      <c r="J46" s="20">
        <f t="shared" ref="J46:N46" si="26">J6+J16-J7+J45</f>
        <v>-478680.51560000016</v>
      </c>
      <c r="K46" s="20">
        <f t="shared" si="26"/>
        <v>-493732.44560000015</v>
      </c>
      <c r="L46" s="20">
        <f t="shared" si="26"/>
        <v>-484497.71560000017</v>
      </c>
      <c r="M46" s="20">
        <f t="shared" si="26"/>
        <v>-492421.00560000015</v>
      </c>
      <c r="N46" s="20">
        <f t="shared" si="26"/>
        <v>-492421.00560000021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2025-03-14T07:00:38Z</cp:lastPrinted>
  <dcterms:created xsi:type="dcterms:W3CDTF">2011-06-06T03:25:48Z</dcterms:created>
  <dcterms:modified xsi:type="dcterms:W3CDTF">2025-03-14T07:12:38Z</dcterms:modified>
</cp:coreProperties>
</file>