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68" windowWidth="17496" windowHeight="10920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N24" i="1" l="1"/>
  <c r="M37" i="1" l="1"/>
  <c r="L37" i="1"/>
  <c r="K37" i="1"/>
  <c r="K34" i="1" l="1"/>
  <c r="M29" i="1" l="1"/>
  <c r="M17" i="1"/>
  <c r="M28" i="1"/>
  <c r="M8" i="1"/>
  <c r="J45" i="1"/>
  <c r="N44" i="1"/>
  <c r="L28" i="1" l="1"/>
  <c r="L8" i="1"/>
  <c r="L29" i="1" l="1"/>
  <c r="L17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I28" i="1" l="1"/>
  <c r="I8" i="1"/>
  <c r="J40" i="1" l="1"/>
  <c r="I40" i="1" l="1"/>
  <c r="J37" i="1" l="1"/>
  <c r="I37" i="1"/>
  <c r="H37" i="1"/>
  <c r="J29" i="1" l="1"/>
  <c r="J17" i="1"/>
  <c r="J28" i="1"/>
  <c r="J8" i="1"/>
  <c r="I29" i="1" l="1"/>
  <c r="I17" i="1"/>
  <c r="H29" i="1" l="1"/>
  <c r="H17" i="1"/>
  <c r="H28" i="1"/>
  <c r="H8" i="1"/>
  <c r="H35" i="1"/>
  <c r="I35" i="1"/>
  <c r="J35" i="1"/>
  <c r="H30" i="1" l="1"/>
  <c r="I30" i="1"/>
  <c r="J30" i="1"/>
  <c r="H27" i="1"/>
  <c r="I27" i="1"/>
  <c r="J27" i="1"/>
  <c r="H26" i="1"/>
  <c r="I26" i="1"/>
  <c r="J26" i="1"/>
  <c r="G40" i="1" l="1"/>
  <c r="G31" i="1" l="1"/>
  <c r="G37" i="1" l="1"/>
  <c r="F37" i="1"/>
  <c r="E37" i="1"/>
  <c r="F40" i="1" l="1"/>
  <c r="G29" i="1" l="1"/>
  <c r="G17" i="1"/>
  <c r="G28" i="1"/>
  <c r="G8" i="1"/>
  <c r="F29" i="1" l="1"/>
  <c r="F17" i="1"/>
  <c r="F28" i="1"/>
  <c r="F8" i="1"/>
  <c r="E40" i="1" l="1"/>
  <c r="E29" i="1" l="1"/>
  <c r="E17" i="1"/>
  <c r="E28" i="1"/>
  <c r="E8" i="1"/>
  <c r="E35" i="1" l="1"/>
  <c r="F35" i="1"/>
  <c r="G35" i="1" l="1"/>
  <c r="E30" i="1"/>
  <c r="F30" i="1"/>
  <c r="G30" i="1"/>
  <c r="E27" i="1"/>
  <c r="F27" i="1"/>
  <c r="G27" i="1"/>
  <c r="E26" i="1"/>
  <c r="F26" i="1"/>
  <c r="G26" i="1"/>
  <c r="D37" i="1" l="1"/>
  <c r="C37" i="1"/>
  <c r="D40" i="1" l="1"/>
  <c r="N37" i="1" l="1"/>
  <c r="D29" i="1" l="1"/>
  <c r="D17" i="1"/>
  <c r="D28" i="1"/>
  <c r="D8" i="1"/>
  <c r="B40" i="1" l="1"/>
  <c r="C29" i="1" l="1"/>
  <c r="C17" i="1"/>
  <c r="C28" i="1"/>
  <c r="C8" i="1"/>
  <c r="B29" i="1" l="1"/>
  <c r="B17" i="1"/>
  <c r="B28" i="1"/>
  <c r="B8" i="1"/>
  <c r="C35" i="1"/>
  <c r="D35" i="1"/>
  <c r="C30" i="1"/>
  <c r="D30" i="1"/>
  <c r="C27" i="1"/>
  <c r="D27" i="1"/>
  <c r="C26" i="1"/>
  <c r="D26" i="1"/>
  <c r="B35" i="1" l="1"/>
  <c r="B30" i="1"/>
  <c r="B27" i="1"/>
  <c r="B26" i="1"/>
  <c r="N21" i="1" l="1"/>
  <c r="N20" i="1"/>
  <c r="N19" i="1"/>
  <c r="N27" i="1"/>
  <c r="N28" i="1"/>
  <c r="N29" i="1"/>
  <c r="N30" i="1"/>
  <c r="N31" i="1"/>
  <c r="N32" i="1"/>
  <c r="N33" i="1"/>
  <c r="N34" i="1"/>
  <c r="N35" i="1"/>
  <c r="N36" i="1"/>
  <c r="N38" i="1"/>
  <c r="N39" i="1"/>
  <c r="N26" i="1"/>
  <c r="G16" i="1" l="1"/>
  <c r="G41" i="1" s="1"/>
  <c r="N15" i="1" l="1"/>
  <c r="G7" i="1" l="1"/>
  <c r="F16" i="1"/>
  <c r="F41" i="1" s="1"/>
  <c r="F42" i="1" s="1"/>
  <c r="F7" i="1"/>
  <c r="E16" i="1"/>
  <c r="E7" i="1"/>
  <c r="N18" i="1"/>
  <c r="E41" i="1" l="1"/>
  <c r="E42" i="1" s="1"/>
  <c r="D16" i="1"/>
  <c r="D7" i="1"/>
  <c r="C16" i="1"/>
  <c r="C7" i="1"/>
  <c r="C41" i="1" l="1"/>
  <c r="C42" i="1" s="1"/>
  <c r="D41" i="1"/>
  <c r="D42" i="1" s="1"/>
  <c r="B16" i="1"/>
  <c r="N17" i="1"/>
  <c r="N6" i="1"/>
  <c r="N5" i="1"/>
  <c r="N12" i="1"/>
  <c r="N23" i="1"/>
  <c r="N22" i="1"/>
  <c r="B41" i="1" l="1"/>
  <c r="B42" i="1" s="1"/>
  <c r="B43" i="1" s="1"/>
  <c r="N14" i="1"/>
  <c r="K16" i="1"/>
  <c r="L16" i="1"/>
  <c r="M16" i="1"/>
  <c r="N9" i="1"/>
  <c r="N10" i="1"/>
  <c r="N11" i="1"/>
  <c r="N13" i="1"/>
  <c r="K7" i="1"/>
  <c r="L7" i="1"/>
  <c r="M7" i="1"/>
  <c r="M41" i="1" l="1"/>
  <c r="M42" i="1" s="1"/>
  <c r="L41" i="1"/>
  <c r="L42" i="1" s="1"/>
  <c r="K41" i="1" l="1"/>
  <c r="J7" i="1"/>
  <c r="I16" i="1"/>
  <c r="J16" i="1"/>
  <c r="H7" i="1"/>
  <c r="I7" i="1"/>
  <c r="K42" i="1" l="1"/>
  <c r="I41" i="1"/>
  <c r="H16" i="1"/>
  <c r="N16" i="1" l="1"/>
  <c r="I42" i="1"/>
  <c r="J41" i="1"/>
  <c r="J42" i="1" s="1"/>
  <c r="H41" i="1" l="1"/>
  <c r="H42" i="1" l="1"/>
  <c r="N8" i="1"/>
  <c r="B7" i="1"/>
  <c r="B45" i="1" l="1"/>
  <c r="C6" i="1" s="1"/>
  <c r="C45" i="1" s="1"/>
  <c r="D6" i="1" s="1"/>
  <c r="D45" i="1" s="1"/>
  <c r="E6" i="1" s="1"/>
  <c r="N7" i="1"/>
  <c r="N45" i="1" s="1"/>
  <c r="G42" i="1" l="1"/>
  <c r="N40" i="1"/>
  <c r="C5" i="1"/>
  <c r="C43" i="1" s="1"/>
  <c r="D5" i="1" s="1"/>
  <c r="D43" i="1" l="1"/>
  <c r="E5" i="1" s="1"/>
  <c r="N41" i="1"/>
  <c r="E45" i="1" l="1"/>
  <c r="F6" i="1" s="1"/>
  <c r="N42" i="1"/>
  <c r="N43" i="1" s="1"/>
  <c r="E43" i="1"/>
  <c r="F45" i="1" l="1"/>
  <c r="G6" i="1" s="1"/>
  <c r="F5" i="1"/>
  <c r="F43" i="1" s="1"/>
  <c r="G5" i="1" s="1"/>
  <c r="G45" i="1" l="1"/>
  <c r="H6" i="1" s="1"/>
  <c r="G43" i="1"/>
  <c r="H5" i="1" s="1"/>
  <c r="H43" i="1" s="1"/>
  <c r="H45" i="1" l="1"/>
  <c r="I6" i="1" s="1"/>
  <c r="I45" i="1" s="1"/>
  <c r="I5" i="1"/>
  <c r="I43" i="1" s="1"/>
  <c r="J6" i="1" l="1"/>
  <c r="J5" i="1"/>
  <c r="J43" i="1" s="1"/>
  <c r="K6" i="1" l="1"/>
  <c r="K45" i="1" s="1"/>
  <c r="K5" i="1"/>
  <c r="K43" i="1" s="1"/>
  <c r="L6" i="1" l="1"/>
  <c r="L45" i="1" s="1"/>
  <c r="L5" i="1"/>
  <c r="L43" i="1" s="1"/>
  <c r="M6" i="1" l="1"/>
  <c r="M45" i="1" s="1"/>
  <c r="M5" i="1"/>
  <c r="M43" i="1" s="1"/>
</calcChain>
</file>

<file path=xl/sharedStrings.xml><?xml version="1.0" encoding="utf-8"?>
<sst xmlns="http://schemas.openxmlformats.org/spreadsheetml/2006/main" count="56" uniqueCount="47">
  <si>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</si>
  <si>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</si>
  <si>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</si>
  <si>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</si>
  <si>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</si>
  <si>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</si>
  <si>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</si>
  <si>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</si>
  <si>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</si>
  <si>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</si>
  <si>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</si>
  <si>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</si>
  <si>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</si>
  <si>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</si>
  <si>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</si>
  <si>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</si>
  <si>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</si>
  <si>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</si>
  <si>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</si>
  <si>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</si>
  <si>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</si>
  <si>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</si>
  <si>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</si>
  <si>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</si>
  <si>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</si>
  <si>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Тех.обслуживание ОПУ </t>
  </si>
  <si>
    <t>Отведение сточных вод на ОИ</t>
  </si>
  <si>
    <t>Установка пластиковых окон</t>
  </si>
  <si>
    <t>Содержание жилья и текущий ремонт,  ОПУ</t>
  </si>
  <si>
    <t xml:space="preserve">Содержание жилья и текущий ремонт,  ОПУ 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</si>
  <si>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</si>
  <si>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</si>
  <si>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</si>
  <si>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</si>
  <si>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</si>
  <si>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</si>
  <si>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</si>
  <si>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</si>
  <si>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</si>
  <si>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</si>
  <si>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</si>
  <si>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</si>
  <si>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</t>
  </si>
  <si>
    <t>Вознаграждение совета МКД</t>
  </si>
  <si>
    <t>Налоги с вознаграждения совета МКД</t>
  </si>
  <si>
    <t>Корректировка задолженности по решению суда</t>
  </si>
  <si>
    <t xml:space="preserve">    ОТЧЕТ по дому Васильева, 53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</si>
</sst>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Border="1"/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6" fillId="5" borderId="4" xfId="0" applyNumberFormat="1" applyFont="1" applyFill="1" applyBorder="1" applyAlignment="1">
      <alignment horizontal="left" vertical="top" wrapText="1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A31" zoomScale="75" workbookViewId="0">
      <selection activeCell="A31" sqref="A1:I1048576"/>
    </sheetView>
  </sheetViews>
  <sheetFormatPr defaultRowHeight="13.2" x14ac:dyDescent="0.25"/>
  <cols>
    <col min="1" max="1" width="58.6640625" customWidth="1"/>
    <col min="2" max="2" width="14" customWidth="1"/>
    <col min="3" max="3" width="14.109375" customWidth="1"/>
    <col min="4" max="14" width="14.33203125" customWidth="1"/>
    <col min="16" max="16" width="13.6640625" bestFit="1" customWidth="1"/>
  </cols>
  <sheetData>
    <row r="1" spans="1:18" ht="20.25" customHeight="1" x14ac:dyDescent="0.4">
      <c r="A1" s="22" t="s">
        <v>46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-583118.59</v>
      </c>
      <c r="C5" s="8">
        <f t="shared" ref="C5" si="0">B43</f>
        <v>-577239.17421999993</v>
      </c>
      <c r="D5" s="8">
        <f t="shared" ref="D5" si="1">C43</f>
        <v>-560285.57828999986</v>
      </c>
      <c r="E5" s="8">
        <f t="shared" ref="E5" si="2">D43</f>
        <v>-523820.08723999985</v>
      </c>
      <c r="F5" s="8">
        <f t="shared" ref="F5" si="3">E43</f>
        <v>-555810.9757999999</v>
      </c>
      <c r="G5" s="8">
        <f t="shared" ref="G5" si="4">F43</f>
        <v>-642249.80187999993</v>
      </c>
      <c r="H5" s="8">
        <f t="shared" ref="H5" si="5">G43</f>
        <v>-660466.34699999995</v>
      </c>
      <c r="I5" s="8">
        <f t="shared" ref="I5" si="6">H43</f>
        <v>-639589.62047999993</v>
      </c>
      <c r="J5" s="8">
        <f t="shared" ref="J5" si="7">I43</f>
        <v>-646741.09964999987</v>
      </c>
      <c r="K5" s="8">
        <f t="shared" ref="K5" si="8">J43</f>
        <v>-634151.22352999984</v>
      </c>
      <c r="L5" s="8">
        <f t="shared" ref="L5" si="9">K43</f>
        <v>-624532.44736999983</v>
      </c>
      <c r="M5" s="8">
        <f t="shared" ref="M5" si="10">L43</f>
        <v>-598278.70991999982</v>
      </c>
      <c r="N5" s="8">
        <f>B5</f>
        <v>-583118.59</v>
      </c>
    </row>
    <row r="6" spans="1:18" ht="21" customHeight="1" thickBot="1" x14ac:dyDescent="0.3">
      <c r="A6" s="7" t="s">
        <v>13</v>
      </c>
      <c r="B6" s="8">
        <v>-321468.53999999998</v>
      </c>
      <c r="C6" s="8">
        <f>B45</f>
        <v>-338698.18</v>
      </c>
      <c r="D6" s="8">
        <f>C45</f>
        <v>-342680.74</v>
      </c>
      <c r="E6" s="8">
        <f t="shared" ref="E6:J6" si="11">D45</f>
        <v>-329142.93999999994</v>
      </c>
      <c r="F6" s="8">
        <f t="shared" si="11"/>
        <v>-343690.98999999993</v>
      </c>
      <c r="G6" s="8">
        <f t="shared" si="11"/>
        <v>-363262.6</v>
      </c>
      <c r="H6" s="8">
        <f t="shared" si="11"/>
        <v>-382854.11</v>
      </c>
      <c r="I6" s="8">
        <f t="shared" si="11"/>
        <v>-390541.61</v>
      </c>
      <c r="J6" s="8">
        <f t="shared" si="11"/>
        <v>-388941.12999999995</v>
      </c>
      <c r="K6" s="8">
        <f>J45</f>
        <v>-396943.06999999995</v>
      </c>
      <c r="L6" s="8">
        <f>K45</f>
        <v>-409163.58999999991</v>
      </c>
      <c r="M6" s="8">
        <f>L45</f>
        <v>-418935.41999999993</v>
      </c>
      <c r="N6" s="8">
        <f>B6</f>
        <v>-321468.53999999998</v>
      </c>
    </row>
    <row r="7" spans="1:18" ht="20.25" customHeight="1" thickBot="1" x14ac:dyDescent="0.3">
      <c r="A7" s="9" t="s">
        <v>12</v>
      </c>
      <c r="B7" s="10">
        <f>SUM(B8:B15)</f>
        <v>89294.14</v>
      </c>
      <c r="C7" s="10">
        <f t="shared" ref="C7:G7" si="12">SUM(C8:C15)</f>
        <v>82745.789999999994</v>
      </c>
      <c r="D7" s="10">
        <f t="shared" si="12"/>
        <v>85561.15</v>
      </c>
      <c r="E7" s="10">
        <f t="shared" si="12"/>
        <v>85765.01999999999</v>
      </c>
      <c r="F7" s="10">
        <f t="shared" si="12"/>
        <v>88182.459999999992</v>
      </c>
      <c r="G7" s="10">
        <f t="shared" si="12"/>
        <v>97083.14</v>
      </c>
      <c r="H7" s="10">
        <f t="shared" ref="H7:M7" si="13">SUM(H8:H15)</f>
        <v>96692.160000000003</v>
      </c>
      <c r="I7" s="10">
        <f t="shared" si="13"/>
        <v>99695.39</v>
      </c>
      <c r="J7" s="10">
        <f t="shared" si="13"/>
        <v>91583.360000000001</v>
      </c>
      <c r="K7" s="10">
        <f t="shared" si="13"/>
        <v>96370.48</v>
      </c>
      <c r="L7" s="10">
        <f t="shared" si="13"/>
        <v>102808.75</v>
      </c>
      <c r="M7" s="10">
        <f t="shared" si="13"/>
        <v>89177.8</v>
      </c>
      <c r="N7" s="10">
        <f>SUM(B7:M7)</f>
        <v>1104959.6399999999</v>
      </c>
    </row>
    <row r="8" spans="1:18" ht="24.75" customHeight="1" thickBot="1" x14ac:dyDescent="0.3">
      <c r="A8" s="4" t="s">
        <v>28</v>
      </c>
      <c r="B8" s="11">
        <f>74275.42+1482.68</f>
        <v>75758.099999999991</v>
      </c>
      <c r="C8" s="11">
        <f>74275.42+1482.68</f>
        <v>75758.099999999991</v>
      </c>
      <c r="D8" s="11">
        <f>74275.42+1482.68</f>
        <v>75758.099999999991</v>
      </c>
      <c r="E8" s="11">
        <f>74275.42+1482.68</f>
        <v>75758.099999999991</v>
      </c>
      <c r="F8" s="11">
        <f>74275.42+1482.68</f>
        <v>75758.099999999991</v>
      </c>
      <c r="G8" s="11">
        <f t="shared" ref="G8:K8" si="14">78794.06+1482.68</f>
        <v>80276.739999999991</v>
      </c>
      <c r="H8" s="11">
        <f t="shared" si="14"/>
        <v>80276.739999999991</v>
      </c>
      <c r="I8" s="11">
        <f t="shared" si="14"/>
        <v>80276.739999999991</v>
      </c>
      <c r="J8" s="11">
        <f t="shared" si="14"/>
        <v>80276.739999999991</v>
      </c>
      <c r="K8" s="11">
        <f t="shared" si="14"/>
        <v>80276.739999999991</v>
      </c>
      <c r="L8" s="11">
        <f>78794.06+1482.68</f>
        <v>80276.739999999991</v>
      </c>
      <c r="M8" s="11">
        <f>78794.06+1482.68</f>
        <v>80276.739999999991</v>
      </c>
      <c r="N8" s="11">
        <f>SUM(B8:M8)</f>
        <v>940727.67999999993</v>
      </c>
    </row>
    <row r="9" spans="1:18" ht="24.75" customHeight="1" thickBot="1" x14ac:dyDescent="0.3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5108.8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5" si="15">SUM(B9:M9)</f>
        <v>5108.8</v>
      </c>
    </row>
    <row r="10" spans="1:18" ht="24.75" customHeight="1" thickBot="1" x14ac:dyDescent="0.3">
      <c r="A10" s="4" t="s">
        <v>18</v>
      </c>
      <c r="B10" s="11">
        <v>234.77</v>
      </c>
      <c r="C10" s="11">
        <v>234.77</v>
      </c>
      <c r="D10" s="11">
        <v>234.77</v>
      </c>
      <c r="E10" s="11">
        <v>234.77</v>
      </c>
      <c r="F10" s="11">
        <v>234.77</v>
      </c>
      <c r="G10" s="11">
        <v>234.77</v>
      </c>
      <c r="H10" s="11">
        <v>259.32</v>
      </c>
      <c r="I10" s="11">
        <v>259.32</v>
      </c>
      <c r="J10" s="11">
        <v>259.32</v>
      </c>
      <c r="K10" s="11">
        <v>259.32</v>
      </c>
      <c r="L10" s="11">
        <v>259.32</v>
      </c>
      <c r="M10" s="11">
        <v>259.32</v>
      </c>
      <c r="N10" s="11">
        <f t="shared" si="15"/>
        <v>2964.5400000000004</v>
      </c>
    </row>
    <row r="11" spans="1:18" ht="24.75" customHeight="1" thickBot="1" x14ac:dyDescent="0.3">
      <c r="A11" s="4" t="s">
        <v>19</v>
      </c>
      <c r="B11" s="11">
        <v>6548.35</v>
      </c>
      <c r="C11" s="11">
        <v>0</v>
      </c>
      <c r="D11" s="11">
        <v>2815.36</v>
      </c>
      <c r="E11" s="11">
        <v>3019.23</v>
      </c>
      <c r="F11" s="11">
        <v>5436.67</v>
      </c>
      <c r="G11" s="11">
        <v>5594.71</v>
      </c>
      <c r="H11" s="11">
        <v>0</v>
      </c>
      <c r="I11" s="11">
        <v>8112.03</v>
      </c>
      <c r="J11" s="11">
        <v>0</v>
      </c>
      <c r="K11" s="11">
        <v>4787.12</v>
      </c>
      <c r="L11" s="11">
        <v>11486.98</v>
      </c>
      <c r="M11" s="11">
        <v>0</v>
      </c>
      <c r="N11" s="11">
        <f t="shared" si="15"/>
        <v>47800.45</v>
      </c>
    </row>
    <row r="12" spans="1:18" ht="24.75" customHeight="1" thickBot="1" x14ac:dyDescent="0.3">
      <c r="A12" s="4" t="s">
        <v>43</v>
      </c>
      <c r="B12" s="11">
        <v>5600</v>
      </c>
      <c r="C12" s="11">
        <v>5600</v>
      </c>
      <c r="D12" s="11">
        <v>5600</v>
      </c>
      <c r="E12" s="11">
        <v>5600</v>
      </c>
      <c r="F12" s="11">
        <v>5600</v>
      </c>
      <c r="G12" s="11">
        <v>9824</v>
      </c>
      <c r="H12" s="11">
        <v>9824</v>
      </c>
      <c r="I12" s="11">
        <v>9824</v>
      </c>
      <c r="J12" s="11">
        <v>9824</v>
      </c>
      <c r="K12" s="11">
        <v>9824</v>
      </c>
      <c r="L12" s="11">
        <v>9824</v>
      </c>
      <c r="M12" s="11">
        <v>9824</v>
      </c>
      <c r="N12" s="11">
        <f>SUM(B12:M12)</f>
        <v>96768</v>
      </c>
    </row>
    <row r="13" spans="1:18" ht="24.75" customHeight="1" thickBot="1" x14ac:dyDescent="0.3">
      <c r="A13" s="4" t="s">
        <v>26</v>
      </c>
      <c r="B13" s="11">
        <v>452.92</v>
      </c>
      <c r="C13" s="11">
        <v>452.92</v>
      </c>
      <c r="D13" s="11">
        <v>452.92</v>
      </c>
      <c r="E13" s="11">
        <v>452.92</v>
      </c>
      <c r="F13" s="11">
        <v>452.92</v>
      </c>
      <c r="G13" s="11">
        <v>452.92</v>
      </c>
      <c r="H13" s="11">
        <v>523.29999999999995</v>
      </c>
      <c r="I13" s="11">
        <v>523.29999999999995</v>
      </c>
      <c r="J13" s="11">
        <v>523.29999999999995</v>
      </c>
      <c r="K13" s="11">
        <v>523.29999999999995</v>
      </c>
      <c r="L13" s="11">
        <v>261.70999999999998</v>
      </c>
      <c r="M13" s="11">
        <v>-1882.26</v>
      </c>
      <c r="N13" s="11">
        <f t="shared" si="15"/>
        <v>3190.17</v>
      </c>
    </row>
    <row r="14" spans="1:18" ht="24.75" hidden="1" customHeight="1" thickBot="1" x14ac:dyDescent="0.3">
      <c r="A14" s="4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20"/>
      <c r="L14" s="11"/>
      <c r="M14" s="11"/>
      <c r="N14" s="11">
        <f t="shared" si="15"/>
        <v>0</v>
      </c>
    </row>
    <row r="15" spans="1:18" ht="24.75" customHeight="1" thickBot="1" x14ac:dyDescent="0.3">
      <c r="A15" s="4" t="s">
        <v>15</v>
      </c>
      <c r="B15" s="11">
        <v>700</v>
      </c>
      <c r="C15" s="11">
        <v>700</v>
      </c>
      <c r="D15" s="11">
        <v>700</v>
      </c>
      <c r="E15" s="11">
        <v>700</v>
      </c>
      <c r="F15" s="11">
        <v>700</v>
      </c>
      <c r="G15" s="11">
        <v>700</v>
      </c>
      <c r="H15" s="11">
        <v>700</v>
      </c>
      <c r="I15" s="11">
        <v>700</v>
      </c>
      <c r="J15" s="11">
        <v>700</v>
      </c>
      <c r="K15" s="11">
        <v>700</v>
      </c>
      <c r="L15" s="11">
        <v>700</v>
      </c>
      <c r="M15" s="11">
        <v>700</v>
      </c>
      <c r="N15" s="11">
        <f t="shared" si="15"/>
        <v>8400</v>
      </c>
    </row>
    <row r="16" spans="1:18" ht="20.25" customHeight="1" thickBot="1" x14ac:dyDescent="0.3">
      <c r="A16" s="12" t="s">
        <v>8</v>
      </c>
      <c r="B16" s="13">
        <f>SUM(B17:B24)</f>
        <v>72064.5</v>
      </c>
      <c r="C16" s="13">
        <f t="shared" ref="C16:G16" si="16">SUM(C17:C24)</f>
        <v>78763.23000000001</v>
      </c>
      <c r="D16" s="13">
        <f t="shared" si="16"/>
        <v>99098.950000000026</v>
      </c>
      <c r="E16" s="13">
        <f t="shared" si="16"/>
        <v>71216.97</v>
      </c>
      <c r="F16" s="13">
        <f t="shared" si="16"/>
        <v>68610.849999999991</v>
      </c>
      <c r="G16" s="13">
        <f t="shared" si="16"/>
        <v>77491.62999999999</v>
      </c>
      <c r="H16" s="13">
        <f t="shared" ref="H16:M16" si="17">SUM(H17:H24)</f>
        <v>89004.66</v>
      </c>
      <c r="I16" s="13">
        <f t="shared" si="17"/>
        <v>85606.040000000008</v>
      </c>
      <c r="J16" s="13">
        <f t="shared" si="17"/>
        <v>83581.420000000013</v>
      </c>
      <c r="K16" s="13">
        <f t="shared" si="17"/>
        <v>84149.96</v>
      </c>
      <c r="L16" s="13">
        <f t="shared" si="17"/>
        <v>89372.909999999989</v>
      </c>
      <c r="M16" s="13">
        <f t="shared" si="17"/>
        <v>93522.92</v>
      </c>
      <c r="N16" s="13">
        <f t="shared" ref="N16:N23" si="18">SUM(B16:M16)</f>
        <v>992484.04000000015</v>
      </c>
      <c r="P16" s="21"/>
    </row>
    <row r="17" spans="1:16" ht="24" customHeight="1" thickBot="1" x14ac:dyDescent="0.3">
      <c r="A17" s="4" t="s">
        <v>29</v>
      </c>
      <c r="B17" s="11">
        <f>61014.02+1251.01</f>
        <v>62265.03</v>
      </c>
      <c r="C17" s="11">
        <f>66120.6+1300.93</f>
        <v>67421.53</v>
      </c>
      <c r="D17" s="11">
        <f>88941.66+1705.67</f>
        <v>90647.33</v>
      </c>
      <c r="E17" s="11">
        <f>62015.74+1242.57</f>
        <v>63258.31</v>
      </c>
      <c r="F17" s="11">
        <f>59261.84+1185.04</f>
        <v>60446.879999999997</v>
      </c>
      <c r="G17" s="11">
        <f>65744.22+1349.81</f>
        <v>67094.03</v>
      </c>
      <c r="H17" s="11">
        <f>72200.35+1338.82</f>
        <v>73539.170000000013</v>
      </c>
      <c r="I17" s="11">
        <f>70482.8+1328.49</f>
        <v>71811.290000000008</v>
      </c>
      <c r="J17" s="11">
        <f>66063.8+1243.47</f>
        <v>67307.27</v>
      </c>
      <c r="K17" s="11">
        <f>72419.36+1212.96</f>
        <v>73632.320000000007</v>
      </c>
      <c r="L17" s="11">
        <f>73601.09+1317.29</f>
        <v>74918.37999999999</v>
      </c>
      <c r="M17" s="11">
        <f>71473.07+1260.34</f>
        <v>72733.41</v>
      </c>
      <c r="N17" s="11">
        <f t="shared" si="18"/>
        <v>845074.95000000019</v>
      </c>
    </row>
    <row r="18" spans="1:16" ht="26.25" customHeight="1" thickBot="1" x14ac:dyDescent="0.3">
      <c r="A18" s="4" t="s">
        <v>17</v>
      </c>
      <c r="B18" s="11">
        <v>0.26</v>
      </c>
      <c r="C18" s="11">
        <v>0.1</v>
      </c>
      <c r="D18" s="11">
        <v>115.49</v>
      </c>
      <c r="E18" s="11">
        <v>0.01</v>
      </c>
      <c r="F18" s="11">
        <v>1.72</v>
      </c>
      <c r="G18" s="11">
        <v>1.71</v>
      </c>
      <c r="H18" s="11">
        <v>8.51</v>
      </c>
      <c r="I18" s="11">
        <v>4217.08</v>
      </c>
      <c r="J18" s="11">
        <v>80.61</v>
      </c>
      <c r="K18" s="11">
        <v>94.92</v>
      </c>
      <c r="L18" s="11">
        <v>93.46</v>
      </c>
      <c r="M18" s="11">
        <v>19.45</v>
      </c>
      <c r="N18" s="11">
        <f t="shared" si="18"/>
        <v>4633.32</v>
      </c>
    </row>
    <row r="19" spans="1:16" ht="26.25" customHeight="1" thickBot="1" x14ac:dyDescent="0.3">
      <c r="A19" s="4" t="s">
        <v>18</v>
      </c>
      <c r="B19" s="11">
        <v>192.85</v>
      </c>
      <c r="C19" s="11">
        <v>208.99</v>
      </c>
      <c r="D19" s="11">
        <v>287.32</v>
      </c>
      <c r="E19" s="11">
        <v>196.05</v>
      </c>
      <c r="F19" s="11">
        <v>187.72</v>
      </c>
      <c r="G19" s="11">
        <v>207.79</v>
      </c>
      <c r="H19" s="11">
        <v>216.55</v>
      </c>
      <c r="I19" s="11">
        <v>231</v>
      </c>
      <c r="J19" s="11">
        <v>217.3</v>
      </c>
      <c r="K19" s="11">
        <v>237.18</v>
      </c>
      <c r="L19" s="11">
        <v>240.84</v>
      </c>
      <c r="M19" s="11">
        <v>230.68</v>
      </c>
      <c r="N19" s="11">
        <f t="shared" si="18"/>
        <v>2654.27</v>
      </c>
    </row>
    <row r="20" spans="1:16" ht="26.25" customHeight="1" thickBot="1" x14ac:dyDescent="0.3">
      <c r="A20" s="4" t="s">
        <v>19</v>
      </c>
      <c r="B20" s="11">
        <v>1674.29</v>
      </c>
      <c r="C20" s="11">
        <v>5519.41</v>
      </c>
      <c r="D20" s="11">
        <v>1628.19</v>
      </c>
      <c r="E20" s="11">
        <v>2324.9499999999998</v>
      </c>
      <c r="F20" s="11">
        <v>2399.35</v>
      </c>
      <c r="G20" s="11">
        <v>4557.37</v>
      </c>
      <c r="H20" s="11">
        <v>5076.75</v>
      </c>
      <c r="I20" s="11">
        <v>353.53</v>
      </c>
      <c r="J20" s="11">
        <v>7117.74</v>
      </c>
      <c r="K20" s="11">
        <v>645.82000000000005</v>
      </c>
      <c r="L20" s="11">
        <v>4202.3900000000003</v>
      </c>
      <c r="M20" s="11">
        <v>9560.5499999999993</v>
      </c>
      <c r="N20" s="11">
        <f t="shared" si="18"/>
        <v>45060.34</v>
      </c>
    </row>
    <row r="21" spans="1:16" ht="26.25" customHeight="1" thickBot="1" x14ac:dyDescent="0.3">
      <c r="A21" s="4" t="s">
        <v>43</v>
      </c>
      <c r="B21" s="11">
        <v>4760</v>
      </c>
      <c r="C21" s="11">
        <v>4810</v>
      </c>
      <c r="D21" s="11">
        <v>5469.77</v>
      </c>
      <c r="E21" s="11">
        <v>4659.47</v>
      </c>
      <c r="F21" s="11">
        <v>4813.2</v>
      </c>
      <c r="G21" s="11">
        <v>4829.8599999999997</v>
      </c>
      <c r="H21" s="11">
        <v>8746.0300000000007</v>
      </c>
      <c r="I21" s="11">
        <v>8128.65</v>
      </c>
      <c r="J21" s="11">
        <v>8020.23</v>
      </c>
      <c r="K21" s="11">
        <v>7763.41</v>
      </c>
      <c r="L21" s="11">
        <v>9032.7000000000007</v>
      </c>
      <c r="M21" s="11">
        <v>8565.0300000000007</v>
      </c>
      <c r="N21" s="11">
        <f t="shared" si="18"/>
        <v>79598.350000000006</v>
      </c>
    </row>
    <row r="22" spans="1:16" ht="26.25" customHeight="1" thickBot="1" x14ac:dyDescent="0.3">
      <c r="A22" s="4" t="s">
        <v>26</v>
      </c>
      <c r="B22" s="11">
        <v>372.07</v>
      </c>
      <c r="C22" s="11">
        <v>403.2</v>
      </c>
      <c r="D22" s="11">
        <v>550.85</v>
      </c>
      <c r="E22" s="11">
        <v>378.18</v>
      </c>
      <c r="F22" s="11">
        <v>361.98</v>
      </c>
      <c r="G22" s="11">
        <v>400.87</v>
      </c>
      <c r="H22" s="11">
        <v>417.65</v>
      </c>
      <c r="I22" s="11">
        <v>464.49</v>
      </c>
      <c r="J22" s="11">
        <v>438.27</v>
      </c>
      <c r="K22" s="11">
        <v>476.31</v>
      </c>
      <c r="L22" s="11">
        <v>485.14</v>
      </c>
      <c r="M22" s="11">
        <v>213.8</v>
      </c>
      <c r="N22" s="11">
        <f t="shared" si="18"/>
        <v>4962.8100000000004</v>
      </c>
    </row>
    <row r="23" spans="1:16" ht="26.25" hidden="1" customHeight="1" thickBot="1" x14ac:dyDescent="0.3">
      <c r="A23" s="4" t="s">
        <v>27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>
        <f t="shared" si="18"/>
        <v>0</v>
      </c>
    </row>
    <row r="24" spans="1:16" ht="26.25" customHeight="1" thickBot="1" x14ac:dyDescent="0.3">
      <c r="A24" s="4" t="s">
        <v>15</v>
      </c>
      <c r="B24" s="14">
        <v>2800</v>
      </c>
      <c r="C24" s="14">
        <v>400</v>
      </c>
      <c r="D24" s="14">
        <v>400</v>
      </c>
      <c r="E24" s="14">
        <v>400</v>
      </c>
      <c r="F24" s="14">
        <v>400</v>
      </c>
      <c r="G24" s="14">
        <v>400</v>
      </c>
      <c r="H24" s="14">
        <v>1000</v>
      </c>
      <c r="I24" s="14">
        <v>400</v>
      </c>
      <c r="J24" s="14">
        <v>400</v>
      </c>
      <c r="K24" s="14">
        <v>1300</v>
      </c>
      <c r="L24" s="14">
        <v>400</v>
      </c>
      <c r="M24" s="14">
        <v>2200</v>
      </c>
      <c r="N24" s="11">
        <f>SUM(B24:M24)</f>
        <v>10500</v>
      </c>
      <c r="O24" s="3"/>
      <c r="P24" s="21"/>
    </row>
    <row r="25" spans="1:16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6" ht="19.5" customHeight="1" thickBot="1" x14ac:dyDescent="0.3">
      <c r="A26" s="4" t="s">
        <v>1</v>
      </c>
      <c r="B26" s="11">
        <f t="shared" ref="B26:M26" si="19">3530.2*0.6</f>
        <v>2118.12</v>
      </c>
      <c r="C26" s="11">
        <f t="shared" si="19"/>
        <v>2118.12</v>
      </c>
      <c r="D26" s="11">
        <f t="shared" si="19"/>
        <v>2118.12</v>
      </c>
      <c r="E26" s="11">
        <f t="shared" si="19"/>
        <v>2118.12</v>
      </c>
      <c r="F26" s="11">
        <f t="shared" si="19"/>
        <v>2118.12</v>
      </c>
      <c r="G26" s="11">
        <f t="shared" si="19"/>
        <v>2118.12</v>
      </c>
      <c r="H26" s="11">
        <f t="shared" si="19"/>
        <v>2118.12</v>
      </c>
      <c r="I26" s="11">
        <f t="shared" si="19"/>
        <v>2118.12</v>
      </c>
      <c r="J26" s="11">
        <f t="shared" si="19"/>
        <v>2118.12</v>
      </c>
      <c r="K26" s="11">
        <f t="shared" si="19"/>
        <v>2118.12</v>
      </c>
      <c r="L26" s="11">
        <f t="shared" si="19"/>
        <v>2118.12</v>
      </c>
      <c r="M26" s="11">
        <f t="shared" si="19"/>
        <v>2118.12</v>
      </c>
      <c r="N26" s="11">
        <f>SUM(B26:M26)</f>
        <v>25417.439999999991</v>
      </c>
    </row>
    <row r="27" spans="1:16" ht="22.5" customHeight="1" thickBot="1" x14ac:dyDescent="0.3">
      <c r="A27" s="4" t="s">
        <v>2</v>
      </c>
      <c r="B27" s="11">
        <f t="shared" ref="B27:M27" si="20">3530.2*0.17</f>
        <v>600.13400000000001</v>
      </c>
      <c r="C27" s="11">
        <f t="shared" si="20"/>
        <v>600.13400000000001</v>
      </c>
      <c r="D27" s="11">
        <f t="shared" si="20"/>
        <v>600.13400000000001</v>
      </c>
      <c r="E27" s="11">
        <f t="shared" si="20"/>
        <v>600.13400000000001</v>
      </c>
      <c r="F27" s="11">
        <f t="shared" si="20"/>
        <v>600.13400000000001</v>
      </c>
      <c r="G27" s="11">
        <f t="shared" si="20"/>
        <v>600.13400000000001</v>
      </c>
      <c r="H27" s="11">
        <f t="shared" si="20"/>
        <v>600.13400000000001</v>
      </c>
      <c r="I27" s="11">
        <f t="shared" si="20"/>
        <v>600.13400000000001</v>
      </c>
      <c r="J27" s="11">
        <f t="shared" si="20"/>
        <v>600.13400000000001</v>
      </c>
      <c r="K27" s="11">
        <f t="shared" si="20"/>
        <v>600.13400000000001</v>
      </c>
      <c r="L27" s="11">
        <f t="shared" si="20"/>
        <v>600.13400000000001</v>
      </c>
      <c r="M27" s="11">
        <f t="shared" si="20"/>
        <v>600.13400000000001</v>
      </c>
      <c r="N27" s="11">
        <f t="shared" ref="N27:N40" si="21">SUM(B27:M27)</f>
        <v>7201.6080000000002</v>
      </c>
    </row>
    <row r="28" spans="1:16" ht="21" customHeight="1" thickBot="1" x14ac:dyDescent="0.3">
      <c r="A28" s="4" t="s">
        <v>3</v>
      </c>
      <c r="B28" s="11">
        <f>88594.14*2.3%</f>
        <v>2037.6652199999999</v>
      </c>
      <c r="C28" s="11">
        <f>82045.79*2.3%</f>
        <v>1887.0531699999999</v>
      </c>
      <c r="D28" s="11">
        <f>84861.15*2.3%</f>
        <v>1951.8064499999998</v>
      </c>
      <c r="E28" s="11">
        <f>85065.02*2.3%</f>
        <v>1956.4954600000001</v>
      </c>
      <c r="F28" s="11">
        <f>87482.46*2.3%</f>
        <v>2012.0965800000001</v>
      </c>
      <c r="G28" s="11">
        <f>96383.14*2.3%</f>
        <v>2216.8122199999998</v>
      </c>
      <c r="H28" s="11">
        <f>95992.16*2.3%</f>
        <v>2207.8196800000001</v>
      </c>
      <c r="I28" s="11">
        <f>98995.39*2.3%</f>
        <v>2276.8939700000001</v>
      </c>
      <c r="J28" s="11">
        <f>90883.36*2.3%</f>
        <v>2090.3172799999998</v>
      </c>
      <c r="K28" s="11">
        <f>95670.48*2.3%</f>
        <v>2200.4210399999997</v>
      </c>
      <c r="L28" s="11">
        <f>102108.75*2.3%</f>
        <v>2348.5012499999998</v>
      </c>
      <c r="M28" s="11">
        <f>88477.8*2.3%</f>
        <v>2034.9893999999999</v>
      </c>
      <c r="N28" s="11">
        <f t="shared" si="21"/>
        <v>25220.871719999999</v>
      </c>
    </row>
    <row r="29" spans="1:16" ht="23.25" customHeight="1" thickBot="1" x14ac:dyDescent="0.3">
      <c r="A29" s="4" t="s">
        <v>4</v>
      </c>
      <c r="B29" s="11">
        <f>69264.5*3%</f>
        <v>2077.9349999999999</v>
      </c>
      <c r="C29" s="11">
        <f>78363.23*3%</f>
        <v>2350.8968999999997</v>
      </c>
      <c r="D29" s="11">
        <f>98698.95*3%</f>
        <v>2960.9684999999999</v>
      </c>
      <c r="E29" s="11">
        <f>70816.97*3%</f>
        <v>2124.5090999999998</v>
      </c>
      <c r="F29" s="11">
        <f>68210.85*3%</f>
        <v>2046.3255000000001</v>
      </c>
      <c r="G29" s="11">
        <f>77091.63*3%</f>
        <v>2312.7489</v>
      </c>
      <c r="H29" s="11">
        <f>88004.66*3%</f>
        <v>2640.1397999999999</v>
      </c>
      <c r="I29" s="11">
        <f>85206.04*3%</f>
        <v>2556.1811999999995</v>
      </c>
      <c r="J29" s="11">
        <f>83181.42*3%</f>
        <v>2495.4425999999999</v>
      </c>
      <c r="K29" s="11">
        <f>82849.96*3%</f>
        <v>2485.4988000000003</v>
      </c>
      <c r="L29" s="11">
        <f>88972.91*3%</f>
        <v>2669.1873000000001</v>
      </c>
      <c r="M29" s="11">
        <f>91322.92*3%</f>
        <v>2739.6875999999997</v>
      </c>
      <c r="N29" s="11">
        <f t="shared" si="21"/>
        <v>29459.521200000003</v>
      </c>
    </row>
    <row r="30" spans="1:16" ht="23.25" customHeight="1" thickBot="1" x14ac:dyDescent="0.3">
      <c r="A30" s="4" t="s">
        <v>9</v>
      </c>
      <c r="B30" s="11">
        <f t="shared" ref="B30:M30" si="22">3530.2*9.7</f>
        <v>34242.939999999995</v>
      </c>
      <c r="C30" s="11">
        <f t="shared" si="22"/>
        <v>34242.939999999995</v>
      </c>
      <c r="D30" s="11">
        <f t="shared" si="22"/>
        <v>34242.939999999995</v>
      </c>
      <c r="E30" s="11">
        <f t="shared" si="22"/>
        <v>34242.939999999995</v>
      </c>
      <c r="F30" s="11">
        <f t="shared" si="22"/>
        <v>34242.939999999995</v>
      </c>
      <c r="G30" s="11">
        <f t="shared" si="22"/>
        <v>34242.939999999995</v>
      </c>
      <c r="H30" s="11">
        <f t="shared" si="22"/>
        <v>34242.939999999995</v>
      </c>
      <c r="I30" s="11">
        <f t="shared" si="22"/>
        <v>34242.939999999995</v>
      </c>
      <c r="J30" s="11">
        <f t="shared" si="22"/>
        <v>34242.939999999995</v>
      </c>
      <c r="K30" s="11">
        <f t="shared" si="22"/>
        <v>34242.939999999995</v>
      </c>
      <c r="L30" s="11">
        <f t="shared" si="22"/>
        <v>34242.939999999995</v>
      </c>
      <c r="M30" s="11">
        <f t="shared" si="22"/>
        <v>34242.939999999995</v>
      </c>
      <c r="N30" s="11">
        <f t="shared" si="21"/>
        <v>410915.27999999997</v>
      </c>
    </row>
    <row r="31" spans="1:16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f>4532.23+576.56</f>
        <v>5108.7899999999991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21"/>
        <v>5108.7899999999991</v>
      </c>
    </row>
    <row r="32" spans="1:16" ht="26.25" customHeight="1" thickBot="1" x14ac:dyDescent="0.3">
      <c r="A32" s="4" t="s">
        <v>21</v>
      </c>
      <c r="B32" s="11">
        <v>352.15</v>
      </c>
      <c r="C32" s="11">
        <v>352.15</v>
      </c>
      <c r="D32" s="11">
        <v>352.15</v>
      </c>
      <c r="E32" s="11">
        <v>352.15</v>
      </c>
      <c r="F32" s="11">
        <v>352.15</v>
      </c>
      <c r="G32" s="11">
        <v>352.15</v>
      </c>
      <c r="H32" s="11">
        <v>389.04</v>
      </c>
      <c r="I32" s="11">
        <v>389.04</v>
      </c>
      <c r="J32" s="11">
        <v>389.04</v>
      </c>
      <c r="K32" s="11">
        <v>389.04</v>
      </c>
      <c r="L32" s="11">
        <v>389.04</v>
      </c>
      <c r="M32" s="11">
        <v>389.04</v>
      </c>
      <c r="N32" s="11">
        <f t="shared" si="21"/>
        <v>4447.1400000000003</v>
      </c>
    </row>
    <row r="33" spans="1:14" ht="26.25" customHeight="1" thickBot="1" x14ac:dyDescent="0.3">
      <c r="A33" s="4" t="s">
        <v>22</v>
      </c>
      <c r="B33" s="11">
        <v>0</v>
      </c>
      <c r="C33" s="11">
        <v>2815.2</v>
      </c>
      <c r="D33" s="11">
        <v>3019.2</v>
      </c>
      <c r="E33" s="11">
        <v>5436.6</v>
      </c>
      <c r="F33" s="11">
        <v>5594.7</v>
      </c>
      <c r="G33" s="11">
        <v>0</v>
      </c>
      <c r="H33" s="11">
        <v>8112.04</v>
      </c>
      <c r="I33" s="11">
        <v>0</v>
      </c>
      <c r="J33" s="11">
        <v>4787.16</v>
      </c>
      <c r="K33" s="11">
        <v>11486.96</v>
      </c>
      <c r="L33" s="11">
        <v>0</v>
      </c>
      <c r="M33" s="11">
        <v>0</v>
      </c>
      <c r="N33" s="11">
        <f t="shared" si="21"/>
        <v>41251.86</v>
      </c>
    </row>
    <row r="34" spans="1:14" ht="26.25" customHeight="1" thickBot="1" x14ac:dyDescent="0.3">
      <c r="A34" s="4" t="s">
        <v>26</v>
      </c>
      <c r="B34" s="11">
        <v>453.01</v>
      </c>
      <c r="C34" s="11">
        <v>453.01</v>
      </c>
      <c r="D34" s="11">
        <v>453.01</v>
      </c>
      <c r="E34" s="11">
        <v>453.01</v>
      </c>
      <c r="F34" s="11">
        <v>453.01</v>
      </c>
      <c r="G34" s="11">
        <v>453.01</v>
      </c>
      <c r="H34" s="11">
        <v>261.67</v>
      </c>
      <c r="I34" s="11">
        <v>261.67</v>
      </c>
      <c r="J34" s="11">
        <v>261.67</v>
      </c>
      <c r="K34" s="11">
        <f>261.67</f>
        <v>261.67</v>
      </c>
      <c r="L34" s="11">
        <v>261.67</v>
      </c>
      <c r="M34" s="11">
        <v>261.67</v>
      </c>
      <c r="N34" s="11">
        <f t="shared" si="21"/>
        <v>4288.0800000000008</v>
      </c>
    </row>
    <row r="35" spans="1:14" ht="22.5" customHeight="1" thickBot="1" x14ac:dyDescent="0.3">
      <c r="A35" s="4" t="s">
        <v>6</v>
      </c>
      <c r="B35" s="11">
        <f t="shared" ref="B35:F35" si="23">3530.2*3.15</f>
        <v>11120.13</v>
      </c>
      <c r="C35" s="11">
        <f t="shared" si="23"/>
        <v>11120.13</v>
      </c>
      <c r="D35" s="11">
        <f t="shared" si="23"/>
        <v>11120.13</v>
      </c>
      <c r="E35" s="11">
        <f t="shared" si="23"/>
        <v>11120.13</v>
      </c>
      <c r="F35" s="11">
        <f t="shared" si="23"/>
        <v>11120.13</v>
      </c>
      <c r="G35" s="11">
        <f t="shared" ref="G35:M35" si="24">3530.2*3.35</f>
        <v>11826.17</v>
      </c>
      <c r="H35" s="11">
        <f t="shared" si="24"/>
        <v>11826.17</v>
      </c>
      <c r="I35" s="11">
        <f t="shared" si="24"/>
        <v>11826.17</v>
      </c>
      <c r="J35" s="11">
        <f t="shared" si="24"/>
        <v>11826.17</v>
      </c>
      <c r="K35" s="11">
        <f t="shared" si="24"/>
        <v>11826.17</v>
      </c>
      <c r="L35" s="11">
        <f t="shared" si="24"/>
        <v>11826.17</v>
      </c>
      <c r="M35" s="11">
        <f t="shared" si="24"/>
        <v>11826.17</v>
      </c>
      <c r="N35" s="11">
        <f t="shared" si="21"/>
        <v>138383.84</v>
      </c>
    </row>
    <row r="36" spans="1:14" ht="21.75" customHeight="1" thickBot="1" x14ac:dyDescent="0.3">
      <c r="A36" s="4" t="s">
        <v>43</v>
      </c>
      <c r="B36" s="11">
        <v>0</v>
      </c>
      <c r="C36" s="11">
        <v>2833</v>
      </c>
      <c r="D36" s="11">
        <v>2742</v>
      </c>
      <c r="E36" s="11">
        <v>3117.84</v>
      </c>
      <c r="F36" s="11">
        <v>2655.63</v>
      </c>
      <c r="G36" s="11">
        <v>2743.24</v>
      </c>
      <c r="H36" s="11">
        <v>2752.9</v>
      </c>
      <c r="I36" s="11">
        <v>4985.22</v>
      </c>
      <c r="J36" s="11">
        <v>4633.05</v>
      </c>
      <c r="K36" s="11">
        <v>4572.16</v>
      </c>
      <c r="L36" s="11">
        <v>4425.3900000000003</v>
      </c>
      <c r="M36" s="11">
        <v>5147.8900000000003</v>
      </c>
      <c r="N36" s="11">
        <f t="shared" si="21"/>
        <v>40608.32</v>
      </c>
    </row>
    <row r="37" spans="1:14" ht="21.75" customHeight="1" thickBot="1" x14ac:dyDescent="0.3">
      <c r="A37" s="4" t="s">
        <v>44</v>
      </c>
      <c r="B37" s="11">
        <v>0</v>
      </c>
      <c r="C37" s="11">
        <f>1491+646</f>
        <v>2137</v>
      </c>
      <c r="D37" s="11">
        <f>1443+625</f>
        <v>2068</v>
      </c>
      <c r="E37" s="11">
        <f>711+1640.93</f>
        <v>2351.9300000000003</v>
      </c>
      <c r="F37" s="11">
        <f>606+1397.84</f>
        <v>2003.84</v>
      </c>
      <c r="G37" s="11">
        <f>626+1443.96</f>
        <v>2069.96</v>
      </c>
      <c r="H37" s="11">
        <f>628+1448.96</f>
        <v>2076.96</v>
      </c>
      <c r="I37" s="11">
        <f>1137+2623.81</f>
        <v>3760.81</v>
      </c>
      <c r="J37" s="11">
        <f>1057+2438.6</f>
        <v>3495.6</v>
      </c>
      <c r="K37" s="11">
        <f>1042+2406.07</f>
        <v>3448.07</v>
      </c>
      <c r="L37" s="11">
        <f>1009+2329.02</f>
        <v>3338.02</v>
      </c>
      <c r="M37" s="11">
        <f>1175+2709.81</f>
        <v>3884.81</v>
      </c>
      <c r="N37" s="11">
        <f t="shared" si="21"/>
        <v>30635</v>
      </c>
    </row>
    <row r="38" spans="1:14" ht="24" customHeight="1" thickBot="1" x14ac:dyDescent="0.3">
      <c r="A38" s="4" t="s">
        <v>25</v>
      </c>
      <c r="B38" s="11">
        <v>900</v>
      </c>
      <c r="C38" s="11">
        <v>900</v>
      </c>
      <c r="D38" s="11">
        <v>900</v>
      </c>
      <c r="E38" s="11">
        <v>900</v>
      </c>
      <c r="F38" s="11">
        <v>900</v>
      </c>
      <c r="G38" s="11">
        <v>900</v>
      </c>
      <c r="H38" s="11">
        <v>900</v>
      </c>
      <c r="I38" s="11">
        <v>900</v>
      </c>
      <c r="J38" s="11">
        <v>900</v>
      </c>
      <c r="K38" s="11">
        <v>900</v>
      </c>
      <c r="L38" s="11">
        <v>900</v>
      </c>
      <c r="M38" s="11">
        <v>900</v>
      </c>
      <c r="N38" s="11">
        <f t="shared" si="21"/>
        <v>10800</v>
      </c>
    </row>
    <row r="39" spans="1:14" ht="22.2" customHeight="1" thickBot="1" x14ac:dyDescent="0.3">
      <c r="A39" s="4" t="s">
        <v>14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21190.34</v>
      </c>
      <c r="J39" s="11">
        <v>0</v>
      </c>
      <c r="K39" s="11">
        <v>0</v>
      </c>
      <c r="L39" s="11">
        <v>0</v>
      </c>
      <c r="M39" s="11">
        <v>0</v>
      </c>
      <c r="N39" s="11">
        <f t="shared" si="21"/>
        <v>21190.34</v>
      </c>
    </row>
    <row r="40" spans="1:14" ht="24" customHeight="1" thickBot="1" x14ac:dyDescent="0.3">
      <c r="A40" s="4" t="s">
        <v>10</v>
      </c>
      <c r="B40" s="11">
        <f>981.1+1756+1020.1+6659.5+1866.3</f>
        <v>12283</v>
      </c>
      <c r="C40" s="11">
        <v>0</v>
      </c>
      <c r="D40" s="11">
        <f>105</f>
        <v>105</v>
      </c>
      <c r="E40" s="11">
        <f>8098.5+764.1+1242.7+28328.7</f>
        <v>38434</v>
      </c>
      <c r="F40" s="11">
        <f>3950.6+87000</f>
        <v>90950.6</v>
      </c>
      <c r="G40" s="11">
        <f>13722.4+6848.5+3912.9+6280.3</f>
        <v>30764.100000000002</v>
      </c>
      <c r="H40" s="11">
        <v>0</v>
      </c>
      <c r="I40" s="11">
        <f>7650</f>
        <v>7650</v>
      </c>
      <c r="J40" s="11">
        <f>1500+1651.9</f>
        <v>3151.9</v>
      </c>
      <c r="K40" s="11">
        <v>0</v>
      </c>
      <c r="L40" s="11">
        <v>0</v>
      </c>
      <c r="M40" s="11">
        <v>0</v>
      </c>
      <c r="N40" s="11">
        <f t="shared" si="21"/>
        <v>183338.6</v>
      </c>
    </row>
    <row r="41" spans="1:14" ht="22.5" customHeight="1" thickBot="1" x14ac:dyDescent="0.3">
      <c r="A41" s="9" t="s">
        <v>23</v>
      </c>
      <c r="B41" s="10">
        <f t="shared" ref="B41:M41" si="25">SUM(B26:B40)</f>
        <v>66185.08421999999</v>
      </c>
      <c r="C41" s="10">
        <f t="shared" si="25"/>
        <v>61809.634069999993</v>
      </c>
      <c r="D41" s="10">
        <f t="shared" si="25"/>
        <v>62633.458949999993</v>
      </c>
      <c r="E41" s="10">
        <f t="shared" si="25"/>
        <v>103207.85855999999</v>
      </c>
      <c r="F41" s="10">
        <f t="shared" si="25"/>
        <v>155049.67608</v>
      </c>
      <c r="G41" s="10">
        <f t="shared" si="25"/>
        <v>95708.17512</v>
      </c>
      <c r="H41" s="10">
        <f t="shared" si="25"/>
        <v>68127.933479999992</v>
      </c>
      <c r="I41" s="10">
        <f t="shared" si="25"/>
        <v>92757.519169999985</v>
      </c>
      <c r="J41" s="10">
        <f t="shared" si="25"/>
        <v>70991.543879999997</v>
      </c>
      <c r="K41" s="10">
        <f t="shared" si="25"/>
        <v>74531.183840000012</v>
      </c>
      <c r="L41" s="10">
        <f t="shared" si="25"/>
        <v>63119.172549999988</v>
      </c>
      <c r="M41" s="10">
        <f t="shared" si="25"/>
        <v>64145.450999999986</v>
      </c>
      <c r="N41" s="10">
        <f>SUM(B41:M41)</f>
        <v>978266.69092000008</v>
      </c>
    </row>
    <row r="42" spans="1:14" ht="23.25" customHeight="1" thickBot="1" x14ac:dyDescent="0.3">
      <c r="A42" s="4" t="s">
        <v>5</v>
      </c>
      <c r="B42" s="18">
        <f t="shared" ref="B42:N42" si="26">B16-B41</f>
        <v>5879.4157800000103</v>
      </c>
      <c r="C42" s="18">
        <f t="shared" si="26"/>
        <v>16953.595930000018</v>
      </c>
      <c r="D42" s="18">
        <f t="shared" si="26"/>
        <v>36465.491050000033</v>
      </c>
      <c r="E42" s="18">
        <f t="shared" si="26"/>
        <v>-31990.888559999992</v>
      </c>
      <c r="F42" s="18">
        <f t="shared" si="26"/>
        <v>-86438.826080000013</v>
      </c>
      <c r="G42" s="18">
        <f t="shared" si="26"/>
        <v>-18216.54512000001</v>
      </c>
      <c r="H42" s="18">
        <f t="shared" si="26"/>
        <v>20876.726520000011</v>
      </c>
      <c r="I42" s="18">
        <f t="shared" si="26"/>
        <v>-7151.4791699999769</v>
      </c>
      <c r="J42" s="18">
        <f t="shared" si="26"/>
        <v>12589.876120000015</v>
      </c>
      <c r="K42" s="18">
        <f t="shared" si="26"/>
        <v>9618.776159999994</v>
      </c>
      <c r="L42" s="18">
        <f t="shared" si="26"/>
        <v>26253.737450000001</v>
      </c>
      <c r="M42" s="18">
        <f t="shared" si="26"/>
        <v>29377.469000000012</v>
      </c>
      <c r="N42" s="11">
        <f t="shared" si="26"/>
        <v>14217.349080000073</v>
      </c>
    </row>
    <row r="43" spans="1:14" ht="23.25" customHeight="1" thickBot="1" x14ac:dyDescent="0.3">
      <c r="A43" s="4" t="s">
        <v>7</v>
      </c>
      <c r="B43" s="14">
        <f t="shared" ref="B43:N43" si="27">B5+B42</f>
        <v>-577239.17421999993</v>
      </c>
      <c r="C43" s="14">
        <f t="shared" si="27"/>
        <v>-560285.57828999986</v>
      </c>
      <c r="D43" s="14">
        <f t="shared" si="27"/>
        <v>-523820.08723999985</v>
      </c>
      <c r="E43" s="14">
        <f t="shared" si="27"/>
        <v>-555810.9757999999</v>
      </c>
      <c r="F43" s="14">
        <f t="shared" si="27"/>
        <v>-642249.80187999993</v>
      </c>
      <c r="G43" s="14">
        <f t="shared" si="27"/>
        <v>-660466.34699999995</v>
      </c>
      <c r="H43" s="14">
        <f t="shared" si="27"/>
        <v>-639589.62047999993</v>
      </c>
      <c r="I43" s="14">
        <f t="shared" si="27"/>
        <v>-646741.09964999987</v>
      </c>
      <c r="J43" s="14">
        <f t="shared" si="27"/>
        <v>-634151.22352999984</v>
      </c>
      <c r="K43" s="14">
        <f t="shared" si="27"/>
        <v>-624532.44736999983</v>
      </c>
      <c r="L43" s="14">
        <f t="shared" si="27"/>
        <v>-598278.70991999982</v>
      </c>
      <c r="M43" s="14">
        <f t="shared" si="27"/>
        <v>-568901.24091999978</v>
      </c>
      <c r="N43" s="14">
        <f t="shared" si="27"/>
        <v>-568901.24091999989</v>
      </c>
    </row>
    <row r="44" spans="1:14" ht="23.25" customHeight="1" thickBot="1" x14ac:dyDescent="0.3">
      <c r="A44" s="4" t="s">
        <v>45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15689.83</v>
      </c>
      <c r="J44" s="11">
        <v>0</v>
      </c>
      <c r="K44" s="11">
        <v>0</v>
      </c>
      <c r="L44" s="11">
        <v>3664.01</v>
      </c>
      <c r="M44" s="11">
        <v>0</v>
      </c>
      <c r="N44" s="11">
        <f>SUM(B44:M44)</f>
        <v>19353.84</v>
      </c>
    </row>
    <row r="45" spans="1:14" ht="27" customHeight="1" thickBot="1" x14ac:dyDescent="0.3">
      <c r="A45" s="15" t="s">
        <v>11</v>
      </c>
      <c r="B45" s="19">
        <f t="shared" ref="B45:H45" si="28">B6+B16-B7</f>
        <v>-338698.18</v>
      </c>
      <c r="C45" s="19">
        <f t="shared" si="28"/>
        <v>-342680.74</v>
      </c>
      <c r="D45" s="19">
        <f t="shared" si="28"/>
        <v>-329142.93999999994</v>
      </c>
      <c r="E45" s="19">
        <f t="shared" si="28"/>
        <v>-343690.98999999993</v>
      </c>
      <c r="F45" s="19">
        <f t="shared" si="28"/>
        <v>-363262.6</v>
      </c>
      <c r="G45" s="19">
        <f t="shared" si="28"/>
        <v>-382854.11</v>
      </c>
      <c r="H45" s="19">
        <f t="shared" si="28"/>
        <v>-390541.61</v>
      </c>
      <c r="I45" s="19">
        <f>I6+I16-I7+I44</f>
        <v>-388941.12999999995</v>
      </c>
      <c r="J45" s="19">
        <f t="shared" ref="J45:M45" si="29">J6+J16-J7+J44</f>
        <v>-396943.06999999995</v>
      </c>
      <c r="K45" s="19">
        <f t="shared" si="29"/>
        <v>-409163.58999999991</v>
      </c>
      <c r="L45" s="19">
        <f t="shared" si="29"/>
        <v>-418935.41999999993</v>
      </c>
      <c r="M45" s="19">
        <f t="shared" si="29"/>
        <v>-414590.29999999993</v>
      </c>
      <c r="N45" s="19">
        <f>N6+N16-N7+N44</f>
        <v>-414590.29999999964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2025-03-03T09:07:21Z</cp:lastPrinted>
  <dcterms:created xsi:type="dcterms:W3CDTF">2011-06-06T03:25:48Z</dcterms:created>
  <dcterms:modified xsi:type="dcterms:W3CDTF">2025-03-03T09:14:26Z</dcterms:modified>
</cp:coreProperties>
</file>