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N40" i="1"/>
  <c r="L40" i="1"/>
  <c r="N36" i="1" l="1"/>
  <c r="N24" i="1"/>
  <c r="N25" i="1"/>
  <c r="N26" i="1"/>
  <c r="N27" i="1"/>
  <c r="N28" i="1"/>
  <c r="N29" i="1"/>
  <c r="N30" i="1"/>
  <c r="N31" i="1"/>
  <c r="N32" i="1"/>
  <c r="N33" i="1"/>
  <c r="N34" i="1"/>
  <c r="N35" i="1"/>
  <c r="N23" i="1"/>
  <c r="M35" i="1" l="1"/>
  <c r="L35" i="1" l="1"/>
  <c r="M26" i="1" l="1"/>
  <c r="M15" i="1"/>
  <c r="M25" i="1"/>
  <c r="M7" i="1"/>
  <c r="N39" i="1" l="1"/>
  <c r="L25" i="1"/>
  <c r="L7" i="1"/>
  <c r="L26" i="1" l="1"/>
  <c r="L15" i="1"/>
  <c r="K26" i="1" l="1"/>
  <c r="K15" i="1"/>
  <c r="K25" i="1"/>
  <c r="K7" i="1"/>
  <c r="K32" i="1" l="1"/>
  <c r="L32" i="1"/>
  <c r="M32" i="1"/>
  <c r="K27" i="1"/>
  <c r="L27" i="1"/>
  <c r="M27" i="1"/>
  <c r="K24" i="1"/>
  <c r="L24" i="1"/>
  <c r="M24" i="1"/>
  <c r="K23" i="1"/>
  <c r="L23" i="1"/>
  <c r="M23" i="1"/>
  <c r="J35" i="1" l="1"/>
  <c r="J28" i="1" l="1"/>
  <c r="I28" i="1"/>
  <c r="I35" i="1" l="1"/>
  <c r="J26" i="1" l="1"/>
  <c r="J15" i="1"/>
  <c r="J25" i="1"/>
  <c r="J7" i="1"/>
  <c r="H35" i="1" l="1"/>
  <c r="I26" i="1" l="1"/>
  <c r="I15" i="1"/>
  <c r="I25" i="1"/>
  <c r="I7" i="1"/>
  <c r="H26" i="1" l="1"/>
  <c r="H15" i="1"/>
  <c r="H25" i="1"/>
  <c r="H27" i="1"/>
  <c r="I27" i="1"/>
  <c r="J27" i="1"/>
  <c r="H7" i="1"/>
  <c r="H32" i="1"/>
  <c r="I32" i="1"/>
  <c r="J32" i="1"/>
  <c r="H24" i="1" l="1"/>
  <c r="I24" i="1"/>
  <c r="J24" i="1"/>
  <c r="H23" i="1"/>
  <c r="I23" i="1"/>
  <c r="J23" i="1"/>
  <c r="G35" i="1" l="1"/>
  <c r="G28" i="1" l="1"/>
  <c r="F28" i="1"/>
  <c r="F35" i="1" l="1"/>
  <c r="G26" i="1" l="1"/>
  <c r="G15" i="1"/>
  <c r="G25" i="1"/>
  <c r="G7" i="1"/>
  <c r="F26" i="1" l="1"/>
  <c r="F15" i="1"/>
  <c r="F25" i="1"/>
  <c r="F7" i="1"/>
  <c r="E26" i="1" l="1"/>
  <c r="E15" i="1"/>
  <c r="E25" i="1"/>
  <c r="E7" i="1"/>
  <c r="E35" i="1" l="1"/>
  <c r="E32" i="1" l="1"/>
  <c r="F32" i="1"/>
  <c r="G32" i="1"/>
  <c r="E27" i="1"/>
  <c r="F27" i="1"/>
  <c r="G27" i="1"/>
  <c r="E24" i="1"/>
  <c r="F24" i="1"/>
  <c r="G24" i="1"/>
  <c r="E23" i="1"/>
  <c r="F23" i="1"/>
  <c r="G23" i="1"/>
  <c r="D26" i="1" l="1"/>
  <c r="D15" i="1"/>
  <c r="D25" i="1"/>
  <c r="D7" i="1"/>
  <c r="C26" i="1" l="1"/>
  <c r="C15" i="1"/>
  <c r="C25" i="1"/>
  <c r="C7" i="1"/>
  <c r="B26" i="1" l="1"/>
  <c r="B15" i="1"/>
  <c r="B25" i="1"/>
  <c r="B7" i="1"/>
  <c r="C32" i="1"/>
  <c r="D32" i="1"/>
  <c r="C27" i="1"/>
  <c r="D27" i="1"/>
  <c r="C24" i="1"/>
  <c r="D24" i="1"/>
  <c r="C23" i="1"/>
  <c r="D23" i="1"/>
  <c r="B32" i="1" l="1"/>
  <c r="B27" i="1"/>
  <c r="B24" i="1"/>
  <c r="B23" i="1"/>
  <c r="N5" i="1" l="1"/>
  <c r="N4" i="1"/>
  <c r="N20" i="1" l="1"/>
  <c r="N12" i="1"/>
  <c r="L6" i="1"/>
  <c r="N16" i="1"/>
  <c r="N17" i="1"/>
  <c r="N18" i="1"/>
  <c r="N19" i="1"/>
  <c r="N21" i="1"/>
  <c r="N15" i="1"/>
  <c r="K14" i="1"/>
  <c r="L14" i="1"/>
  <c r="M14" i="1"/>
  <c r="N8" i="1"/>
  <c r="N9" i="1"/>
  <c r="N10" i="1"/>
  <c r="N11" i="1"/>
  <c r="N13" i="1"/>
  <c r="K6" i="1"/>
  <c r="M6" i="1"/>
  <c r="M36" i="1" l="1"/>
  <c r="M37" i="1" s="1"/>
  <c r="L36" i="1"/>
  <c r="L37" i="1" s="1"/>
  <c r="K36" i="1"/>
  <c r="K37" i="1" s="1"/>
  <c r="N7" i="1"/>
  <c r="H14" i="1" l="1"/>
  <c r="I14" i="1"/>
  <c r="J14" i="1"/>
  <c r="H6" i="1"/>
  <c r="I6" i="1"/>
  <c r="J6" i="1"/>
  <c r="G6" i="1"/>
  <c r="F14" i="1"/>
  <c r="F6" i="1"/>
  <c r="E14" i="1"/>
  <c r="D14" i="1"/>
  <c r="D6" i="1"/>
  <c r="C14" i="1"/>
  <c r="C6" i="1"/>
  <c r="B14" i="1"/>
  <c r="B6" i="1"/>
  <c r="J36" i="1" l="1"/>
  <c r="J37" i="1" s="1"/>
  <c r="I36" i="1"/>
  <c r="I37" i="1" s="1"/>
  <c r="E36" i="1"/>
  <c r="E37" i="1" s="1"/>
  <c r="C36" i="1"/>
  <c r="C37" i="1" s="1"/>
  <c r="B36" i="1"/>
  <c r="E6" i="1"/>
  <c r="N6" i="1" s="1"/>
  <c r="H36" i="1"/>
  <c r="H37" i="1" s="1"/>
  <c r="G14" i="1"/>
  <c r="F36" i="1"/>
  <c r="F37" i="1" s="1"/>
  <c r="B40" i="1"/>
  <c r="C5" i="1" s="1"/>
  <c r="D36" i="1"/>
  <c r="D37" i="1" s="1"/>
  <c r="G36" i="1" l="1"/>
  <c r="G37" i="1" s="1"/>
  <c r="N14" i="1"/>
  <c r="C40" i="1"/>
  <c r="D5" i="1" s="1"/>
  <c r="D40" i="1" s="1"/>
  <c r="E5" i="1" s="1"/>
  <c r="E40" i="1" s="1"/>
  <c r="F5" i="1" s="1"/>
  <c r="B37" i="1"/>
  <c r="B38" i="1" s="1"/>
  <c r="F40" i="1" l="1"/>
  <c r="G5" i="1" s="1"/>
  <c r="G40" i="1" s="1"/>
  <c r="C4" i="1"/>
  <c r="C38" i="1" s="1"/>
  <c r="D4" i="1" s="1"/>
  <c r="D38" i="1" s="1"/>
  <c r="H5" i="1" l="1"/>
  <c r="N37" i="1"/>
  <c r="N38" i="1" s="1"/>
  <c r="E4" i="1"/>
  <c r="E38" i="1" s="1"/>
  <c r="H40" i="1" l="1"/>
  <c r="I5" i="1" s="1"/>
  <c r="F4" i="1"/>
  <c r="F38" i="1" s="1"/>
  <c r="I40" i="1" l="1"/>
  <c r="J5" i="1" s="1"/>
  <c r="G4" i="1"/>
  <c r="G38" i="1" s="1"/>
  <c r="J40" i="1" l="1"/>
  <c r="K5" i="1" s="1"/>
  <c r="H4" i="1"/>
  <c r="H38" i="1" s="1"/>
  <c r="K40" i="1" l="1"/>
  <c r="L5" i="1" s="1"/>
  <c r="I4" i="1"/>
  <c r="I38" i="1" s="1"/>
  <c r="M5" i="1" l="1"/>
  <c r="J4" i="1"/>
  <c r="J38" i="1" s="1"/>
  <c r="K4" i="1" l="1"/>
  <c r="K38" i="1" s="1"/>
  <c r="L4" i="1" l="1"/>
  <c r="L38" i="1" s="1"/>
  <c r="M4" i="1" l="1"/>
  <c r="M38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<sst xmlns="http://schemas.openxmlformats.org/spreadsheetml/2006/main" count="52" uniqueCount="44">
  <si>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</si>
  <si>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</si>
  <si>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</si>
  <si>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</si>
  <si>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</si>
  <si>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</si>
  <si>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</si>
  <si>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</si>
  <si>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</si>
  <si>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</si>
  <si>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</si>
  <si>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</si>
  <si>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</si>
  <si>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</si>
  <si>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</si>
  <si>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</si>
  <si>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</si>
  <si>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</si>
  <si>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</si>
  <si>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</si>
  <si>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</si>
  <si>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</si>
  <si>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</si>
  <si>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</si>
  <si>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</si>
  <si>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</si>
  <si>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</si>
  <si>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Ремонт подъезда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</si>
  <si>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</si>
  <si>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</si>
  <si>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</si>
  <si>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</si>
  <si>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</si>
  <si>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</si>
  <si>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</si>
  <si>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</si>
  <si>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</si>
  <si>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</si>
  <si>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2024г.</t>
  </si>
  <si>
    <t>Ноябрь 2024г.</t>
  </si>
  <si>
    <t>Декабрь 2024г</t>
  </si>
  <si>
    <t>Всего:                       за  2024г</t>
  </si>
  <si>
    <t xml:space="preserve"> ОТЧЕТ по дому Васильева, 5 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</si>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</sst>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topLeftCell="B28" zoomScale="75" workbookViewId="0">
      <selection activeCell="L43" sqref="L43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14" width="13.5546875" customWidth="1"/>
  </cols>
  <sheetData>
    <row r="1" spans="1:19" ht="24" customHeight="1" thickBot="1" x14ac:dyDescent="0.3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  <c r="R1" s="19"/>
      <c r="S1" s="19"/>
    </row>
    <row r="2" spans="1:19" ht="3" hidden="1" customHeight="1" thickBot="1" x14ac:dyDescent="0.3">
      <c r="A2" s="1"/>
    </row>
    <row r="3" spans="1:19" ht="36" customHeight="1" thickBot="1" x14ac:dyDescent="0.3">
      <c r="A3" s="4" t="s">
        <v>0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</row>
    <row r="4" spans="1:19" ht="23.25" customHeight="1" thickBot="1" x14ac:dyDescent="0.3">
      <c r="A4" s="6" t="s">
        <v>16</v>
      </c>
      <c r="B4" s="7">
        <v>161180.07</v>
      </c>
      <c r="C4" s="7">
        <f t="shared" ref="C4:D4" si="0">B38</f>
        <v>174966.30729000003</v>
      </c>
      <c r="D4" s="7">
        <f t="shared" si="0"/>
        <v>193369.03208000003</v>
      </c>
      <c r="E4" s="7">
        <f t="shared" ref="E4:J4" si="1">D38</f>
        <v>215083.64727000004</v>
      </c>
      <c r="F4" s="7">
        <f t="shared" si="1"/>
        <v>198012.14226000005</v>
      </c>
      <c r="G4" s="7">
        <f t="shared" si="1"/>
        <v>203512.20015000005</v>
      </c>
      <c r="H4" s="7">
        <f t="shared" si="1"/>
        <v>208816.53713000007</v>
      </c>
      <c r="I4" s="7">
        <f t="shared" si="1"/>
        <v>213136.25430000009</v>
      </c>
      <c r="J4" s="7">
        <f t="shared" si="1"/>
        <v>160785.87737000006</v>
      </c>
      <c r="K4" s="7">
        <f t="shared" ref="K4" si="2">J38</f>
        <v>169443.28681000008</v>
      </c>
      <c r="L4" s="7">
        <f t="shared" ref="L4" si="3">K38</f>
        <v>196036.17183000012</v>
      </c>
      <c r="M4" s="7">
        <f t="shared" ref="M4" si="4">L38</f>
        <v>214934.92439000017</v>
      </c>
      <c r="N4" s="7">
        <f>B4</f>
        <v>161180.07</v>
      </c>
    </row>
    <row r="5" spans="1:19" ht="21" customHeight="1" thickBot="1" x14ac:dyDescent="0.3">
      <c r="A5" s="6" t="s">
        <v>13</v>
      </c>
      <c r="B5" s="7">
        <v>-44608.03</v>
      </c>
      <c r="C5" s="7">
        <f t="shared" ref="C5:M5" si="5">B40</f>
        <v>-49218.11</v>
      </c>
      <c r="D5" s="7">
        <f t="shared" si="5"/>
        <v>-49019.440000000017</v>
      </c>
      <c r="E5" s="7">
        <f t="shared" si="5"/>
        <v>-45406.450000000026</v>
      </c>
      <c r="F5" s="7">
        <f t="shared" si="5"/>
        <v>-50242.120000000039</v>
      </c>
      <c r="G5" s="7">
        <f t="shared" si="5"/>
        <v>-56584.220000000052</v>
      </c>
      <c r="H5" s="7">
        <f t="shared" si="5"/>
        <v>-64076.090000000062</v>
      </c>
      <c r="I5" s="7">
        <f t="shared" si="5"/>
        <v>-69606.030000000086</v>
      </c>
      <c r="J5" s="7">
        <f t="shared" si="5"/>
        <v>-47279.640000000087</v>
      </c>
      <c r="K5" s="7">
        <f t="shared" si="5"/>
        <v>-53736.470000000088</v>
      </c>
      <c r="L5" s="7">
        <f t="shared" si="5"/>
        <v>-47695.130000000063</v>
      </c>
      <c r="M5" s="7">
        <f t="shared" si="5"/>
        <v>-39526.290000000045</v>
      </c>
      <c r="N5" s="7">
        <f>B5</f>
        <v>-44608.03</v>
      </c>
    </row>
    <row r="6" spans="1:19" ht="20.25" customHeight="1" thickBot="1" x14ac:dyDescent="0.3">
      <c r="A6" s="8" t="s">
        <v>12</v>
      </c>
      <c r="B6" s="9">
        <f t="shared" ref="B6:M6" si="6">SUM(B7:B13)</f>
        <v>70827.87000000001</v>
      </c>
      <c r="C6" s="9">
        <f t="shared" si="6"/>
        <v>70827.87000000001</v>
      </c>
      <c r="D6" s="9">
        <f t="shared" si="6"/>
        <v>70827.87000000001</v>
      </c>
      <c r="E6" s="9">
        <f t="shared" si="6"/>
        <v>70827.87000000001</v>
      </c>
      <c r="F6" s="9">
        <f t="shared" si="6"/>
        <v>70827.87000000001</v>
      </c>
      <c r="G6" s="9">
        <f t="shared" si="6"/>
        <v>74033.040000000008</v>
      </c>
      <c r="H6" s="9">
        <f t="shared" si="6"/>
        <v>77342.510000000009</v>
      </c>
      <c r="I6" s="9">
        <f t="shared" si="6"/>
        <v>70983.91</v>
      </c>
      <c r="J6" s="9">
        <f t="shared" si="6"/>
        <v>74238.820000000007</v>
      </c>
      <c r="K6" s="9">
        <f t="shared" si="6"/>
        <v>73271.259999999995</v>
      </c>
      <c r="L6" s="9">
        <f t="shared" si="6"/>
        <v>70636.88</v>
      </c>
      <c r="M6" s="9">
        <f t="shared" si="6"/>
        <v>68498.780000000013</v>
      </c>
      <c r="N6" s="9">
        <f>SUM(B6:M6)</f>
        <v>863144.55000000016</v>
      </c>
    </row>
    <row r="7" spans="1:19" ht="24.75" customHeight="1" thickBot="1" x14ac:dyDescent="0.3">
      <c r="A7" s="3" t="s">
        <v>28</v>
      </c>
      <c r="B7" s="10">
        <f t="shared" ref="B7:G7" si="7">68245.05+1461.13</f>
        <v>69706.180000000008</v>
      </c>
      <c r="C7" s="10">
        <f t="shared" si="7"/>
        <v>69706.180000000008</v>
      </c>
      <c r="D7" s="10">
        <f t="shared" si="7"/>
        <v>69706.180000000008</v>
      </c>
      <c r="E7" s="10">
        <f t="shared" si="7"/>
        <v>69706.180000000008</v>
      </c>
      <c r="F7" s="10">
        <f t="shared" si="7"/>
        <v>69706.180000000008</v>
      </c>
      <c r="G7" s="10">
        <f t="shared" si="7"/>
        <v>69706.180000000008</v>
      </c>
      <c r="H7" s="10">
        <f>68245.05+1461.13</f>
        <v>69706.180000000008</v>
      </c>
      <c r="I7" s="10">
        <f>68245.05+85.83+1461.13</f>
        <v>69792.010000000009</v>
      </c>
      <c r="J7" s="10">
        <f>68245.05+1461.13</f>
        <v>69706.180000000008</v>
      </c>
      <c r="K7" s="10">
        <f>68245.05+1461.13</f>
        <v>69706.180000000008</v>
      </c>
      <c r="L7" s="10">
        <f>68245.05+1461.13</f>
        <v>69706.180000000008</v>
      </c>
      <c r="M7" s="10">
        <f>68245.05+1461.13</f>
        <v>69706.180000000008</v>
      </c>
      <c r="N7" s="10">
        <f>SUM(B7:M7)</f>
        <v>836559.99000000022</v>
      </c>
    </row>
    <row r="8" spans="1:19" ht="24.75" customHeight="1" thickBot="1" x14ac:dyDescent="0.3">
      <c r="A8" s="3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3205.17</v>
      </c>
      <c r="H8" s="10">
        <v>6444.43</v>
      </c>
      <c r="I8" s="10">
        <v>0</v>
      </c>
      <c r="J8" s="10">
        <v>3340.74</v>
      </c>
      <c r="K8" s="10">
        <v>2373.1799999999998</v>
      </c>
      <c r="L8" s="10">
        <v>0</v>
      </c>
      <c r="M8" s="10">
        <v>0</v>
      </c>
      <c r="N8" s="10">
        <f t="shared" ref="N8:N13" si="8">SUM(B8:M8)</f>
        <v>15363.52</v>
      </c>
    </row>
    <row r="9" spans="1:19" ht="21.75" customHeight="1" thickBot="1" x14ac:dyDescent="0.3">
      <c r="A9" s="3" t="s">
        <v>18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 t="shared" si="8"/>
        <v>0</v>
      </c>
    </row>
    <row r="10" spans="1:19" ht="22.5" customHeight="1" thickBot="1" x14ac:dyDescent="0.3">
      <c r="A10" s="3" t="s">
        <v>19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8"/>
        <v>0</v>
      </c>
    </row>
    <row r="11" spans="1:19" ht="22.5" customHeight="1" thickBot="1" x14ac:dyDescent="0.3">
      <c r="A11" s="3" t="s">
        <v>26</v>
      </c>
      <c r="B11" s="10">
        <v>451.69</v>
      </c>
      <c r="C11" s="10">
        <v>451.69</v>
      </c>
      <c r="D11" s="10">
        <v>451.69</v>
      </c>
      <c r="E11" s="10">
        <v>451.69</v>
      </c>
      <c r="F11" s="10">
        <v>451.69</v>
      </c>
      <c r="G11" s="10">
        <v>451.69</v>
      </c>
      <c r="H11" s="10">
        <v>521.9</v>
      </c>
      <c r="I11" s="10">
        <v>521.9</v>
      </c>
      <c r="J11" s="10">
        <v>521.9</v>
      </c>
      <c r="K11" s="10">
        <v>521.9</v>
      </c>
      <c r="L11" s="10">
        <v>260.7</v>
      </c>
      <c r="M11" s="10">
        <v>-1877.4</v>
      </c>
      <c r="N11" s="10">
        <f t="shared" si="8"/>
        <v>3181.0399999999995</v>
      </c>
    </row>
    <row r="12" spans="1:19" ht="22.5" hidden="1" customHeight="1" thickBot="1" x14ac:dyDescent="0.3">
      <c r="A12" s="3" t="s">
        <v>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>
        <f t="shared" si="8"/>
        <v>0</v>
      </c>
    </row>
    <row r="13" spans="1:19" ht="24" customHeight="1" thickBot="1" x14ac:dyDescent="0.3">
      <c r="A13" s="3" t="s">
        <v>15</v>
      </c>
      <c r="B13" s="10">
        <v>670</v>
      </c>
      <c r="C13" s="10">
        <v>670</v>
      </c>
      <c r="D13" s="10">
        <v>670</v>
      </c>
      <c r="E13" s="10">
        <v>670</v>
      </c>
      <c r="F13" s="10">
        <v>670</v>
      </c>
      <c r="G13" s="10">
        <v>670</v>
      </c>
      <c r="H13" s="10">
        <v>670</v>
      </c>
      <c r="I13" s="10">
        <v>670</v>
      </c>
      <c r="J13" s="10">
        <v>670</v>
      </c>
      <c r="K13" s="10">
        <v>670</v>
      </c>
      <c r="L13" s="10">
        <v>670</v>
      </c>
      <c r="M13" s="10">
        <v>670</v>
      </c>
      <c r="N13" s="10">
        <f t="shared" si="8"/>
        <v>8040</v>
      </c>
    </row>
    <row r="14" spans="1:19" ht="20.25" customHeight="1" thickBot="1" x14ac:dyDescent="0.3">
      <c r="A14" s="11" t="s">
        <v>8</v>
      </c>
      <c r="B14" s="12">
        <f t="shared" ref="B14:M14" si="9">SUM(B15:B21)</f>
        <v>66217.790000000008</v>
      </c>
      <c r="C14" s="12">
        <f t="shared" si="9"/>
        <v>71026.539999999994</v>
      </c>
      <c r="D14" s="12">
        <f t="shared" si="9"/>
        <v>74440.86</v>
      </c>
      <c r="E14" s="12">
        <f t="shared" si="9"/>
        <v>65992.2</v>
      </c>
      <c r="F14" s="12">
        <f t="shared" si="9"/>
        <v>64485.77</v>
      </c>
      <c r="G14" s="12">
        <f t="shared" si="9"/>
        <v>66541.17</v>
      </c>
      <c r="H14" s="12">
        <f t="shared" si="9"/>
        <v>71812.569999999992</v>
      </c>
      <c r="I14" s="12">
        <f t="shared" si="9"/>
        <v>93310.3</v>
      </c>
      <c r="J14" s="12">
        <f t="shared" si="9"/>
        <v>67781.990000000005</v>
      </c>
      <c r="K14" s="12">
        <f t="shared" si="9"/>
        <v>79312.60000000002</v>
      </c>
      <c r="L14" s="12">
        <f t="shared" si="9"/>
        <v>73468.040000000023</v>
      </c>
      <c r="M14" s="12">
        <f t="shared" si="9"/>
        <v>65948.37</v>
      </c>
      <c r="N14" s="12">
        <f>SUM(B14:M14)</f>
        <v>860338.20000000007</v>
      </c>
    </row>
    <row r="15" spans="1:19" ht="24" customHeight="1" thickBot="1" x14ac:dyDescent="0.3">
      <c r="A15" s="3" t="s">
        <v>28</v>
      </c>
      <c r="B15" s="10">
        <f>62469.72+1334.8</f>
        <v>63804.520000000004</v>
      </c>
      <c r="C15" s="10">
        <f>68477.62+1594.58</f>
        <v>70072.2</v>
      </c>
      <c r="D15" s="10">
        <f>71997.06+1477.64</f>
        <v>73474.7</v>
      </c>
      <c r="E15" s="10">
        <f>63750.46+1419.81</f>
        <v>65170.27</v>
      </c>
      <c r="F15" s="10">
        <f>62361.99+1311.03</f>
        <v>63673.02</v>
      </c>
      <c r="G15" s="10">
        <f>64376.08+1340.86</f>
        <v>65716.94</v>
      </c>
      <c r="H15" s="10">
        <f>66327.96+1426.26</f>
        <v>67754.22</v>
      </c>
      <c r="I15" s="10">
        <f>83135.07+1723.09</f>
        <v>84858.16</v>
      </c>
      <c r="J15" s="10">
        <f>65257.61+1397.46</f>
        <v>66655.070000000007</v>
      </c>
      <c r="K15" s="10">
        <f>73023.57+1449.77</f>
        <v>74473.340000000011</v>
      </c>
      <c r="L15" s="10">
        <f>68661.32+1455.58</f>
        <v>70116.900000000009</v>
      </c>
      <c r="M15" s="10">
        <f>62867.61-85.83+1330.93</f>
        <v>64112.71</v>
      </c>
      <c r="N15" s="10">
        <f>SUM(B15:M15)</f>
        <v>829882.05</v>
      </c>
    </row>
    <row r="16" spans="1:19" ht="26.25" customHeight="1" thickBot="1" x14ac:dyDescent="0.3">
      <c r="A16" s="3" t="s">
        <v>17</v>
      </c>
      <c r="B16" s="10">
        <v>0</v>
      </c>
      <c r="C16" s="10">
        <v>100.4</v>
      </c>
      <c r="D16" s="10">
        <v>89.02</v>
      </c>
      <c r="E16" s="10">
        <v>0</v>
      </c>
      <c r="F16" s="10">
        <v>0</v>
      </c>
      <c r="G16" s="10">
        <v>0</v>
      </c>
      <c r="H16" s="10">
        <v>2817.45</v>
      </c>
      <c r="I16" s="10">
        <v>6385.89</v>
      </c>
      <c r="J16" s="10">
        <v>228.95</v>
      </c>
      <c r="K16" s="10">
        <v>3287.32</v>
      </c>
      <c r="L16" s="10">
        <v>2424.8200000000002</v>
      </c>
      <c r="M16" s="10">
        <v>0</v>
      </c>
      <c r="N16" s="10">
        <f t="shared" ref="N16:N21" si="10">SUM(B16:M16)</f>
        <v>15333.85</v>
      </c>
    </row>
    <row r="17" spans="1:15" ht="26.25" customHeight="1" thickBot="1" x14ac:dyDescent="0.3">
      <c r="A17" s="3" t="s">
        <v>18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f t="shared" si="10"/>
        <v>0</v>
      </c>
    </row>
    <row r="18" spans="1:15" ht="24" customHeight="1" thickBot="1" x14ac:dyDescent="0.3">
      <c r="A18" s="3" t="s">
        <v>19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 t="shared" si="10"/>
        <v>0</v>
      </c>
    </row>
    <row r="19" spans="1:15" ht="24" customHeight="1" thickBot="1" x14ac:dyDescent="0.3">
      <c r="A19" s="3" t="s">
        <v>26</v>
      </c>
      <c r="B19" s="10">
        <v>413.27</v>
      </c>
      <c r="C19" s="10">
        <v>453.94</v>
      </c>
      <c r="D19" s="10">
        <v>477.14</v>
      </c>
      <c r="E19" s="10">
        <v>421.93</v>
      </c>
      <c r="F19" s="10">
        <v>412.75</v>
      </c>
      <c r="G19" s="10">
        <v>424.23</v>
      </c>
      <c r="H19" s="10">
        <v>440.9</v>
      </c>
      <c r="I19" s="10">
        <v>616.25</v>
      </c>
      <c r="J19" s="10">
        <v>497.97</v>
      </c>
      <c r="K19" s="10">
        <v>551.94000000000005</v>
      </c>
      <c r="L19" s="10">
        <v>526.32000000000005</v>
      </c>
      <c r="M19" s="10">
        <v>235.66</v>
      </c>
      <c r="N19" s="10">
        <f t="shared" si="10"/>
        <v>5472.2999999999993</v>
      </c>
    </row>
    <row r="20" spans="1:15" ht="24" hidden="1" customHeight="1" thickBot="1" x14ac:dyDescent="0.3">
      <c r="A20" s="3" t="s">
        <v>27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>
        <f t="shared" si="10"/>
        <v>0</v>
      </c>
    </row>
    <row r="21" spans="1:15" ht="21" customHeight="1" thickBot="1" x14ac:dyDescent="0.3">
      <c r="A21" s="3" t="s">
        <v>15</v>
      </c>
      <c r="B21" s="13">
        <v>2000</v>
      </c>
      <c r="C21" s="13">
        <v>400</v>
      </c>
      <c r="D21" s="13">
        <v>400</v>
      </c>
      <c r="E21" s="13">
        <v>400</v>
      </c>
      <c r="F21" s="13">
        <v>400</v>
      </c>
      <c r="G21" s="13">
        <v>400</v>
      </c>
      <c r="H21" s="13">
        <v>800</v>
      </c>
      <c r="I21" s="13">
        <v>1450</v>
      </c>
      <c r="J21" s="13">
        <v>400</v>
      </c>
      <c r="K21" s="10">
        <v>1000</v>
      </c>
      <c r="L21" s="10">
        <v>400</v>
      </c>
      <c r="M21" s="10">
        <v>1600</v>
      </c>
      <c r="N21" s="10">
        <f t="shared" si="10"/>
        <v>9650</v>
      </c>
      <c r="O21" s="2"/>
    </row>
    <row r="22" spans="1:15" ht="21.75" customHeight="1" thickBot="1" x14ac:dyDescent="0.3">
      <c r="A22" s="14" t="s">
        <v>24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5" ht="19.5" customHeight="1" thickBot="1" x14ac:dyDescent="0.3">
      <c r="A23" s="3" t="s">
        <v>1</v>
      </c>
      <c r="B23" s="10">
        <f>3563.7*0.6</f>
        <v>2138.2199999999998</v>
      </c>
      <c r="C23" s="10">
        <f t="shared" ref="C23:M23" si="11">3563.7*0.6</f>
        <v>2138.2199999999998</v>
      </c>
      <c r="D23" s="10">
        <f t="shared" si="11"/>
        <v>2138.2199999999998</v>
      </c>
      <c r="E23" s="10">
        <f t="shared" si="11"/>
        <v>2138.2199999999998</v>
      </c>
      <c r="F23" s="10">
        <f t="shared" si="11"/>
        <v>2138.2199999999998</v>
      </c>
      <c r="G23" s="10">
        <f t="shared" si="11"/>
        <v>2138.2199999999998</v>
      </c>
      <c r="H23" s="10">
        <f t="shared" si="11"/>
        <v>2138.2199999999998</v>
      </c>
      <c r="I23" s="10">
        <f t="shared" si="11"/>
        <v>2138.2199999999998</v>
      </c>
      <c r="J23" s="10">
        <f t="shared" si="11"/>
        <v>2138.2199999999998</v>
      </c>
      <c r="K23" s="10">
        <f t="shared" si="11"/>
        <v>2138.2199999999998</v>
      </c>
      <c r="L23" s="10">
        <f t="shared" si="11"/>
        <v>2138.2199999999998</v>
      </c>
      <c r="M23" s="10">
        <f t="shared" si="11"/>
        <v>2138.2199999999998</v>
      </c>
      <c r="N23" s="10">
        <f>SUM(B23:M23)</f>
        <v>25658.640000000003</v>
      </c>
    </row>
    <row r="24" spans="1:15" ht="22.5" customHeight="1" thickBot="1" x14ac:dyDescent="0.3">
      <c r="A24" s="3" t="s">
        <v>2</v>
      </c>
      <c r="B24" s="10">
        <f>3563.7*0.17</f>
        <v>605.82900000000006</v>
      </c>
      <c r="C24" s="10">
        <f t="shared" ref="C24:M24" si="12">3563.7*0.17</f>
        <v>605.82900000000006</v>
      </c>
      <c r="D24" s="10">
        <f t="shared" si="12"/>
        <v>605.82900000000006</v>
      </c>
      <c r="E24" s="10">
        <f t="shared" si="12"/>
        <v>605.82900000000006</v>
      </c>
      <c r="F24" s="10">
        <f t="shared" si="12"/>
        <v>605.82900000000006</v>
      </c>
      <c r="G24" s="10">
        <f t="shared" si="12"/>
        <v>605.82900000000006</v>
      </c>
      <c r="H24" s="10">
        <f t="shared" si="12"/>
        <v>605.82900000000006</v>
      </c>
      <c r="I24" s="10">
        <f t="shared" si="12"/>
        <v>605.82900000000006</v>
      </c>
      <c r="J24" s="10">
        <f t="shared" si="12"/>
        <v>605.82900000000006</v>
      </c>
      <c r="K24" s="10">
        <f t="shared" si="12"/>
        <v>605.82900000000006</v>
      </c>
      <c r="L24" s="10">
        <f t="shared" si="12"/>
        <v>605.82900000000006</v>
      </c>
      <c r="M24" s="10">
        <f t="shared" si="12"/>
        <v>605.82900000000006</v>
      </c>
      <c r="N24" s="10">
        <f t="shared" ref="N24:N35" si="13">SUM(B24:M24)</f>
        <v>7269.9479999999994</v>
      </c>
    </row>
    <row r="25" spans="1:15" ht="21" customHeight="1" thickBot="1" x14ac:dyDescent="0.3">
      <c r="A25" s="3" t="s">
        <v>3</v>
      </c>
      <c r="B25" s="10">
        <f>70157.87*2.3%</f>
        <v>1613.6310099999998</v>
      </c>
      <c r="C25" s="10">
        <f>70157.87*2.3%</f>
        <v>1613.6310099999998</v>
      </c>
      <c r="D25" s="10">
        <f>70157.87*2.3%</f>
        <v>1613.6310099999998</v>
      </c>
      <c r="E25" s="10">
        <f>70157.87*2.3%</f>
        <v>1613.6310099999998</v>
      </c>
      <c r="F25" s="10">
        <f>70157.87*2.3%</f>
        <v>1613.6310099999998</v>
      </c>
      <c r="G25" s="10">
        <f>73363.04*2.3%</f>
        <v>1687.3499199999999</v>
      </c>
      <c r="H25" s="10">
        <f>76672.51*2.3%</f>
        <v>1763.4677299999998</v>
      </c>
      <c r="I25" s="10">
        <f>70313.91*2.3%</f>
        <v>1617.21993</v>
      </c>
      <c r="J25" s="10">
        <f>73568.82*2.3%</f>
        <v>1692.0828600000002</v>
      </c>
      <c r="K25" s="10">
        <f>72601.26*2.3%</f>
        <v>1669.8289799999998</v>
      </c>
      <c r="L25" s="10">
        <f>69966.88*2.3%</f>
        <v>1609.2382400000001</v>
      </c>
      <c r="M25" s="10">
        <f>67828.78*2.3%</f>
        <v>1560.06194</v>
      </c>
      <c r="N25" s="10">
        <f t="shared" si="13"/>
        <v>19667.404649999997</v>
      </c>
    </row>
    <row r="26" spans="1:15" ht="23.25" customHeight="1" thickBot="1" x14ac:dyDescent="0.3">
      <c r="A26" s="3" t="s">
        <v>4</v>
      </c>
      <c r="B26" s="10">
        <f>64217.79*3%</f>
        <v>1926.5337</v>
      </c>
      <c r="C26" s="10">
        <f>70626.54*3%</f>
        <v>2118.7961999999998</v>
      </c>
      <c r="D26" s="10">
        <f>74040.86*3%</f>
        <v>2221.2257999999997</v>
      </c>
      <c r="E26" s="10">
        <f>65592.2*3%</f>
        <v>1967.7659999999998</v>
      </c>
      <c r="F26" s="10">
        <f>64085.77*3%</f>
        <v>1922.5730999999998</v>
      </c>
      <c r="G26" s="10">
        <f>66141.17*3%</f>
        <v>1984.2350999999999</v>
      </c>
      <c r="H26" s="10">
        <f>71012.57*3%</f>
        <v>2130.3771000000002</v>
      </c>
      <c r="I26" s="10">
        <f>91860.3*3%</f>
        <v>2755.8090000000002</v>
      </c>
      <c r="J26" s="10">
        <f>67381.99*3%</f>
        <v>2021.4597000000001</v>
      </c>
      <c r="K26" s="10">
        <f>78312.6*3%</f>
        <v>2349.3780000000002</v>
      </c>
      <c r="L26" s="10">
        <f>73068.04*3%</f>
        <v>2192.0411999999997</v>
      </c>
      <c r="M26" s="10">
        <f>64348.37*3%</f>
        <v>1930.4511</v>
      </c>
      <c r="N26" s="10">
        <f t="shared" si="13"/>
        <v>25520.645999999997</v>
      </c>
    </row>
    <row r="27" spans="1:15" ht="23.25" customHeight="1" thickBot="1" x14ac:dyDescent="0.3">
      <c r="A27" s="3" t="s">
        <v>9</v>
      </c>
      <c r="B27" s="20">
        <f>3563.7*9.7</f>
        <v>34567.889999999992</v>
      </c>
      <c r="C27" s="20">
        <f t="shared" ref="C27:M27" si="14">3563.7*9.7</f>
        <v>34567.889999999992</v>
      </c>
      <c r="D27" s="20">
        <f t="shared" si="14"/>
        <v>34567.889999999992</v>
      </c>
      <c r="E27" s="20">
        <f t="shared" si="14"/>
        <v>34567.889999999992</v>
      </c>
      <c r="F27" s="20">
        <f t="shared" si="14"/>
        <v>34567.889999999992</v>
      </c>
      <c r="G27" s="20">
        <f t="shared" si="14"/>
        <v>34567.889999999992</v>
      </c>
      <c r="H27" s="20">
        <f t="shared" si="14"/>
        <v>34567.889999999992</v>
      </c>
      <c r="I27" s="20">
        <f t="shared" si="14"/>
        <v>34567.889999999992</v>
      </c>
      <c r="J27" s="20">
        <f t="shared" si="14"/>
        <v>34567.889999999992</v>
      </c>
      <c r="K27" s="20">
        <f t="shared" si="14"/>
        <v>34567.889999999992</v>
      </c>
      <c r="L27" s="20">
        <f t="shared" si="14"/>
        <v>34567.889999999992</v>
      </c>
      <c r="M27" s="20">
        <f t="shared" si="14"/>
        <v>34567.889999999992</v>
      </c>
      <c r="N27" s="10">
        <f t="shared" si="13"/>
        <v>414814.68</v>
      </c>
    </row>
    <row r="28" spans="1:15" ht="19.2" customHeight="1" thickBot="1" x14ac:dyDescent="0.3">
      <c r="A28" s="3" t="s">
        <v>20</v>
      </c>
      <c r="B28" s="10">
        <v>0</v>
      </c>
      <c r="C28" s="10">
        <v>0</v>
      </c>
      <c r="D28" s="10">
        <v>0</v>
      </c>
      <c r="E28" s="10">
        <v>0</v>
      </c>
      <c r="F28" s="10">
        <f>3205.31+0.01</f>
        <v>3205.32</v>
      </c>
      <c r="G28" s="10">
        <f>5717.07+727.29</f>
        <v>6444.36</v>
      </c>
      <c r="H28" s="10">
        <v>0</v>
      </c>
      <c r="I28" s="10">
        <f>2989.12+351.62</f>
        <v>3340.74</v>
      </c>
      <c r="J28" s="10">
        <f>2123.38+249.75</f>
        <v>2373.13</v>
      </c>
      <c r="K28" s="10">
        <v>0</v>
      </c>
      <c r="L28" s="10">
        <v>0</v>
      </c>
      <c r="M28" s="10">
        <v>0</v>
      </c>
      <c r="N28" s="10">
        <f t="shared" si="13"/>
        <v>15363.55</v>
      </c>
    </row>
    <row r="29" spans="1:15" ht="21.6" customHeight="1" thickBot="1" x14ac:dyDescent="0.3">
      <c r="A29" s="3" t="s">
        <v>21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f t="shared" si="13"/>
        <v>0</v>
      </c>
    </row>
    <row r="30" spans="1:15" ht="21.6" customHeight="1" thickBot="1" x14ac:dyDescent="0.3">
      <c r="A30" s="3" t="s">
        <v>22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f t="shared" si="13"/>
        <v>0</v>
      </c>
    </row>
    <row r="31" spans="1:15" ht="26.25" customHeight="1" thickBot="1" x14ac:dyDescent="0.3">
      <c r="A31" s="3" t="s">
        <v>26</v>
      </c>
      <c r="B31" s="10">
        <v>451.63</v>
      </c>
      <c r="C31" s="10">
        <v>451.63</v>
      </c>
      <c r="D31" s="10">
        <v>451.63</v>
      </c>
      <c r="E31" s="10">
        <v>451.63</v>
      </c>
      <c r="F31" s="10">
        <v>451.63</v>
      </c>
      <c r="G31" s="10">
        <v>451.63</v>
      </c>
      <c r="H31" s="10">
        <v>260.75</v>
      </c>
      <c r="I31" s="10">
        <v>260.75</v>
      </c>
      <c r="J31" s="10">
        <v>260.75</v>
      </c>
      <c r="K31" s="10">
        <v>260.75</v>
      </c>
      <c r="L31" s="10">
        <v>260.75</v>
      </c>
      <c r="M31" s="10">
        <v>260.75</v>
      </c>
      <c r="N31" s="10">
        <f t="shared" si="13"/>
        <v>4274.2800000000007</v>
      </c>
    </row>
    <row r="32" spans="1:15" ht="24.6" customHeight="1" thickBot="1" x14ac:dyDescent="0.3">
      <c r="A32" s="3" t="s">
        <v>6</v>
      </c>
      <c r="B32" s="10">
        <f>3563.7*2.87</f>
        <v>10227.819</v>
      </c>
      <c r="C32" s="10">
        <f t="shared" ref="C32:M32" si="15">3563.7*2.87</f>
        <v>10227.819</v>
      </c>
      <c r="D32" s="10">
        <f t="shared" si="15"/>
        <v>10227.819</v>
      </c>
      <c r="E32" s="10">
        <f t="shared" si="15"/>
        <v>10227.819</v>
      </c>
      <c r="F32" s="10">
        <f t="shared" si="15"/>
        <v>10227.819</v>
      </c>
      <c r="G32" s="10">
        <f t="shared" si="15"/>
        <v>10227.819</v>
      </c>
      <c r="H32" s="10">
        <f t="shared" si="15"/>
        <v>10227.819</v>
      </c>
      <c r="I32" s="10">
        <f t="shared" si="15"/>
        <v>10227.819</v>
      </c>
      <c r="J32" s="10">
        <f t="shared" si="15"/>
        <v>10227.819</v>
      </c>
      <c r="K32" s="10">
        <f t="shared" si="15"/>
        <v>10227.819</v>
      </c>
      <c r="L32" s="10">
        <f t="shared" si="15"/>
        <v>10227.819</v>
      </c>
      <c r="M32" s="10">
        <f t="shared" si="15"/>
        <v>10227.819</v>
      </c>
      <c r="N32" s="10">
        <f t="shared" si="13"/>
        <v>122733.82800000002</v>
      </c>
    </row>
    <row r="33" spans="1:14" ht="24.75" customHeight="1" thickBot="1" x14ac:dyDescent="0.3">
      <c r="A33" s="3" t="s">
        <v>25</v>
      </c>
      <c r="B33" s="10">
        <v>900</v>
      </c>
      <c r="C33" s="10">
        <v>900</v>
      </c>
      <c r="D33" s="10">
        <v>900</v>
      </c>
      <c r="E33" s="10">
        <v>900</v>
      </c>
      <c r="F33" s="10">
        <v>900</v>
      </c>
      <c r="G33" s="10">
        <v>900</v>
      </c>
      <c r="H33" s="10">
        <v>900</v>
      </c>
      <c r="I33" s="10">
        <v>900</v>
      </c>
      <c r="J33" s="10">
        <v>900</v>
      </c>
      <c r="K33" s="10">
        <v>900</v>
      </c>
      <c r="L33" s="10">
        <v>900</v>
      </c>
      <c r="M33" s="10">
        <v>900</v>
      </c>
      <c r="N33" s="10">
        <f t="shared" si="13"/>
        <v>10800</v>
      </c>
    </row>
    <row r="34" spans="1:14" ht="24.75" customHeight="1" thickBot="1" x14ac:dyDescent="0.3">
      <c r="A34" s="3" t="s">
        <v>14</v>
      </c>
      <c r="B34" s="10">
        <v>0</v>
      </c>
      <c r="C34" s="10">
        <v>0</v>
      </c>
      <c r="D34" s="10">
        <v>0</v>
      </c>
      <c r="E34" s="10">
        <v>20542.419999999998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f t="shared" si="13"/>
        <v>20542.419999999998</v>
      </c>
    </row>
    <row r="35" spans="1:14" ht="24" customHeight="1" thickBot="1" x14ac:dyDescent="0.3">
      <c r="A35" s="3" t="s">
        <v>10</v>
      </c>
      <c r="B35" s="10">
        <v>0</v>
      </c>
      <c r="C35" s="10">
        <v>0</v>
      </c>
      <c r="D35" s="10">
        <v>0</v>
      </c>
      <c r="E35" s="10">
        <f>3524.6+6523.9</f>
        <v>10048.5</v>
      </c>
      <c r="F35" s="10">
        <f>3352.8</f>
        <v>3352.8</v>
      </c>
      <c r="G35" s="10">
        <f>2229.5</f>
        <v>2229.5</v>
      </c>
      <c r="H35" s="10">
        <f>14898.5</f>
        <v>14898.5</v>
      </c>
      <c r="I35" s="10">
        <f>19975+21146.3+22265+8098.5+14297.8+3463.8</f>
        <v>89246.400000000009</v>
      </c>
      <c r="J35" s="10">
        <f>4337.4</f>
        <v>4337.3999999999996</v>
      </c>
      <c r="K35" s="10">
        <v>0</v>
      </c>
      <c r="L35" s="10">
        <f>600+844.1+623.4</f>
        <v>2067.5</v>
      </c>
      <c r="M35" s="10">
        <f>18650+10247.3+11280.5+13509.9</f>
        <v>53687.700000000004</v>
      </c>
      <c r="N35" s="10">
        <f t="shared" si="13"/>
        <v>179868.30000000002</v>
      </c>
    </row>
    <row r="36" spans="1:14" ht="22.5" customHeight="1" thickBot="1" x14ac:dyDescent="0.3">
      <c r="A36" s="8" t="s">
        <v>23</v>
      </c>
      <c r="B36" s="9">
        <f t="shared" ref="B36:M36" si="16">SUM(B23:B35)</f>
        <v>52431.552709999989</v>
      </c>
      <c r="C36" s="9">
        <f t="shared" si="16"/>
        <v>52623.815209999986</v>
      </c>
      <c r="D36" s="9">
        <f t="shared" si="16"/>
        <v>52726.244809999989</v>
      </c>
      <c r="E36" s="9">
        <f t="shared" si="16"/>
        <v>83063.705009999991</v>
      </c>
      <c r="F36" s="9">
        <f t="shared" si="16"/>
        <v>58985.712109999993</v>
      </c>
      <c r="G36" s="9">
        <f t="shared" si="16"/>
        <v>61236.833019999991</v>
      </c>
      <c r="H36" s="9">
        <f t="shared" si="16"/>
        <v>67492.852829999989</v>
      </c>
      <c r="I36" s="9">
        <f t="shared" si="16"/>
        <v>145660.67693000002</v>
      </c>
      <c r="J36" s="9">
        <f t="shared" si="16"/>
        <v>59124.580559999995</v>
      </c>
      <c r="K36" s="9">
        <f t="shared" si="16"/>
        <v>52719.71497999999</v>
      </c>
      <c r="L36" s="9">
        <f t="shared" si="16"/>
        <v>54569.287439999986</v>
      </c>
      <c r="M36" s="9">
        <f t="shared" si="16"/>
        <v>105878.72104</v>
      </c>
      <c r="N36" s="9">
        <f>SUM(B36:M36)</f>
        <v>846513.69664999994</v>
      </c>
    </row>
    <row r="37" spans="1:14" ht="23.25" customHeight="1" thickBot="1" x14ac:dyDescent="0.3">
      <c r="A37" s="3" t="s">
        <v>5</v>
      </c>
      <c r="B37" s="17">
        <f t="shared" ref="B37:N37" si="17">B14-B36</f>
        <v>13786.237290000019</v>
      </c>
      <c r="C37" s="17">
        <f t="shared" si="17"/>
        <v>18402.724790000007</v>
      </c>
      <c r="D37" s="17">
        <f t="shared" si="17"/>
        <v>21714.615190000011</v>
      </c>
      <c r="E37" s="17">
        <f t="shared" si="17"/>
        <v>-17071.505009999993</v>
      </c>
      <c r="F37" s="17">
        <f t="shared" si="17"/>
        <v>5500.0578900000037</v>
      </c>
      <c r="G37" s="17">
        <f t="shared" si="17"/>
        <v>5304.3369800000073</v>
      </c>
      <c r="H37" s="17">
        <f t="shared" si="17"/>
        <v>4319.7171700000035</v>
      </c>
      <c r="I37" s="17">
        <f t="shared" si="17"/>
        <v>-52350.376930000013</v>
      </c>
      <c r="J37" s="17">
        <f t="shared" si="17"/>
        <v>8657.4094400000104</v>
      </c>
      <c r="K37" s="17">
        <f t="shared" si="17"/>
        <v>26592.885020000031</v>
      </c>
      <c r="L37" s="17">
        <f t="shared" si="17"/>
        <v>18898.752560000037</v>
      </c>
      <c r="M37" s="17">
        <f t="shared" si="17"/>
        <v>-39930.351040000009</v>
      </c>
      <c r="N37" s="10">
        <f t="shared" si="17"/>
        <v>13824.50335000013</v>
      </c>
    </row>
    <row r="38" spans="1:14" ht="23.25" customHeight="1" thickBot="1" x14ac:dyDescent="0.3">
      <c r="A38" s="3" t="s">
        <v>7</v>
      </c>
      <c r="B38" s="13">
        <f t="shared" ref="B38:N38" si="18">B4+B37</f>
        <v>174966.30729000003</v>
      </c>
      <c r="C38" s="13">
        <f t="shared" si="18"/>
        <v>193369.03208000003</v>
      </c>
      <c r="D38" s="13">
        <f t="shared" si="18"/>
        <v>215083.64727000004</v>
      </c>
      <c r="E38" s="13">
        <f t="shared" si="18"/>
        <v>198012.14226000005</v>
      </c>
      <c r="F38" s="13">
        <f t="shared" si="18"/>
        <v>203512.20015000005</v>
      </c>
      <c r="G38" s="13">
        <f t="shared" si="18"/>
        <v>208816.53713000007</v>
      </c>
      <c r="H38" s="13">
        <f t="shared" si="18"/>
        <v>213136.25430000009</v>
      </c>
      <c r="I38" s="13">
        <f t="shared" si="18"/>
        <v>160785.87737000006</v>
      </c>
      <c r="J38" s="13">
        <f t="shared" si="18"/>
        <v>169443.28681000008</v>
      </c>
      <c r="K38" s="13">
        <f t="shared" si="18"/>
        <v>196036.17183000012</v>
      </c>
      <c r="L38" s="13">
        <f t="shared" si="18"/>
        <v>214934.92439000017</v>
      </c>
      <c r="M38" s="13">
        <f t="shared" si="18"/>
        <v>175004.57335000017</v>
      </c>
      <c r="N38" s="13">
        <f t="shared" si="18"/>
        <v>175004.57335000014</v>
      </c>
    </row>
    <row r="39" spans="1:14" ht="23.25" customHeight="1" thickBot="1" x14ac:dyDescent="0.3">
      <c r="A39" s="3" t="s">
        <v>43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5337.68</v>
      </c>
      <c r="M39" s="10">
        <v>0</v>
      </c>
      <c r="N39" s="10">
        <f>SUM(B39:M39)</f>
        <v>5337.68</v>
      </c>
    </row>
    <row r="40" spans="1:14" ht="27" customHeight="1" thickBot="1" x14ac:dyDescent="0.3">
      <c r="A40" s="14" t="s">
        <v>11</v>
      </c>
      <c r="B40" s="18">
        <f t="shared" ref="B40:N40" si="19">B5+B14-B6</f>
        <v>-49218.11</v>
      </c>
      <c r="C40" s="18">
        <f t="shared" si="19"/>
        <v>-49019.440000000017</v>
      </c>
      <c r="D40" s="18">
        <f t="shared" si="19"/>
        <v>-45406.450000000026</v>
      </c>
      <c r="E40" s="18">
        <f t="shared" si="19"/>
        <v>-50242.120000000039</v>
      </c>
      <c r="F40" s="18">
        <f t="shared" si="19"/>
        <v>-56584.220000000052</v>
      </c>
      <c r="G40" s="18">
        <f t="shared" si="19"/>
        <v>-64076.090000000062</v>
      </c>
      <c r="H40" s="18">
        <f t="shared" si="19"/>
        <v>-69606.030000000086</v>
      </c>
      <c r="I40" s="18">
        <f t="shared" si="19"/>
        <v>-47279.640000000087</v>
      </c>
      <c r="J40" s="18">
        <f t="shared" si="19"/>
        <v>-53736.470000000088</v>
      </c>
      <c r="K40" s="18">
        <f t="shared" si="19"/>
        <v>-47695.130000000063</v>
      </c>
      <c r="L40" s="18">
        <f>L5-L6+L14+L39</f>
        <v>-39526.290000000045</v>
      </c>
      <c r="M40" s="18">
        <f t="shared" ref="M40:N40" si="20">M5-M6+M14+M39</f>
        <v>-42076.70000000007</v>
      </c>
      <c r="N40" s="18">
        <f t="shared" si="20"/>
        <v>-42076.700000000121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2025-03-03T08:21:39Z</cp:lastPrinted>
  <dcterms:created xsi:type="dcterms:W3CDTF">2011-06-06T03:25:48Z</dcterms:created>
  <dcterms:modified xsi:type="dcterms:W3CDTF">2025-03-03T08:23:14Z</dcterms:modified>
</cp:coreProperties>
</file>