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N36" i="1" l="1"/>
  <c r="N37" i="1"/>
  <c r="M40" i="1" l="1"/>
  <c r="L40" i="1" l="1"/>
  <c r="K40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40" i="1" l="1"/>
  <c r="I40" i="1" l="1"/>
  <c r="J29" i="1" l="1"/>
  <c r="J17" i="1"/>
  <c r="J28" i="1"/>
  <c r="J8" i="1"/>
  <c r="H40" i="1" l="1"/>
  <c r="I29" i="1" l="1"/>
  <c r="I17" i="1"/>
  <c r="I28" i="1"/>
  <c r="I8" i="1"/>
  <c r="H29" i="1" l="1"/>
  <c r="H17" i="1"/>
  <c r="H28" i="1"/>
  <c r="H8" i="1"/>
  <c r="H35" i="1"/>
  <c r="I35" i="1"/>
  <c r="J35" i="1"/>
  <c r="H30" i="1" l="1"/>
  <c r="I30" i="1"/>
  <c r="J30" i="1"/>
  <c r="H27" i="1"/>
  <c r="I27" i="1"/>
  <c r="J27" i="1"/>
  <c r="H26" i="1"/>
  <c r="I26" i="1"/>
  <c r="J26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40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40" i="1" l="1"/>
  <c r="C40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N23" i="1" l="1"/>
  <c r="N14" i="1"/>
  <c r="N6" i="1" l="1"/>
  <c r="N5" i="1"/>
  <c r="M7" i="1" l="1"/>
  <c r="N8" i="1"/>
  <c r="K7" i="1"/>
  <c r="N26" i="1"/>
  <c r="N27" i="1"/>
  <c r="N30" i="1"/>
  <c r="N31" i="1"/>
  <c r="N32" i="1"/>
  <c r="N33" i="1"/>
  <c r="N34" i="1"/>
  <c r="N35" i="1"/>
  <c r="N38" i="1"/>
  <c r="N39" i="1"/>
  <c r="N40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M41" i="1" l="1"/>
  <c r="M42" i="1" s="1"/>
  <c r="L41" i="1"/>
  <c r="L42" i="1" s="1"/>
  <c r="L7" i="1"/>
  <c r="K41" i="1"/>
  <c r="K42" i="1" s="1"/>
  <c r="N29" i="1" l="1"/>
  <c r="H16" i="1" l="1"/>
  <c r="I16" i="1"/>
  <c r="J16" i="1"/>
  <c r="H7" i="1"/>
  <c r="J41" i="1" l="1"/>
  <c r="J42" i="1" s="1"/>
  <c r="J7" i="1"/>
  <c r="I7" i="1"/>
  <c r="I41" i="1"/>
  <c r="I42" i="1" s="1"/>
  <c r="H41" i="1" l="1"/>
  <c r="H42" i="1" s="1"/>
  <c r="N28" i="1" l="1"/>
  <c r="E16" i="1"/>
  <c r="F16" i="1"/>
  <c r="G16" i="1"/>
  <c r="E7" i="1"/>
  <c r="F7" i="1"/>
  <c r="G7" i="1"/>
  <c r="D16" i="1"/>
  <c r="D7" i="1"/>
  <c r="C16" i="1"/>
  <c r="C7" i="1"/>
  <c r="B16" i="1"/>
  <c r="B7" i="1"/>
  <c r="G41" i="1" l="1"/>
  <c r="G42" i="1" s="1"/>
  <c r="F41" i="1"/>
  <c r="F42" i="1" s="1"/>
  <c r="N16" i="1"/>
  <c r="N7" i="1"/>
  <c r="D41" i="1"/>
  <c r="D42" i="1" s="1"/>
  <c r="C41" i="1"/>
  <c r="C42" i="1" s="1"/>
  <c r="B44" i="1"/>
  <c r="C6" i="1" s="1"/>
  <c r="C44" i="1" s="1"/>
  <c r="D6" i="1" s="1"/>
  <c r="D44" i="1" s="1"/>
  <c r="E6" i="1" s="1"/>
  <c r="E44" i="1" s="1"/>
  <c r="F6" i="1" s="1"/>
  <c r="F44" i="1" l="1"/>
  <c r="G6" i="1" s="1"/>
  <c r="G44" i="1" s="1"/>
  <c r="H6" i="1" s="1"/>
  <c r="H44" i="1" s="1"/>
  <c r="I6" i="1" s="1"/>
  <c r="I44" i="1" s="1"/>
  <c r="J6" i="1" s="1"/>
  <c r="E41" i="1"/>
  <c r="B41" i="1"/>
  <c r="B42" i="1" s="1"/>
  <c r="B43" i="1" s="1"/>
  <c r="C5" i="1" s="1"/>
  <c r="J44" i="1" l="1"/>
  <c r="K6" i="1" s="1"/>
  <c r="K44" i="1" s="1"/>
  <c r="L6" i="1" s="1"/>
  <c r="L44" i="1" s="1"/>
  <c r="M6" i="1" s="1"/>
  <c r="M44" i="1" s="1"/>
  <c r="E42" i="1"/>
  <c r="N41" i="1"/>
  <c r="C43" i="1"/>
  <c r="D5" i="1" s="1"/>
  <c r="D43" i="1" l="1"/>
  <c r="E5" i="1" l="1"/>
  <c r="E43" i="1"/>
  <c r="F43" i="1" s="1"/>
  <c r="G43" i="1" s="1"/>
  <c r="F5" i="1" l="1"/>
  <c r="G5" i="1" l="1"/>
  <c r="H5" i="1" l="1"/>
  <c r="H43" i="1"/>
  <c r="I43" i="1" l="1"/>
  <c r="J43" i="1" s="1"/>
  <c r="I5" i="1"/>
  <c r="J5" i="1" l="1"/>
  <c r="N44" i="1"/>
  <c r="N42" i="1"/>
  <c r="N43" i="1"/>
  <c r="K5" i="1" l="1"/>
  <c r="K43" i="1"/>
  <c r="L5" i="1" l="1"/>
  <c r="L43" i="1"/>
  <c r="M43" i="1" l="1"/>
  <c r="M5" i="1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<sst xmlns="http://schemas.openxmlformats.org/spreadsheetml/2006/main" count="55" uniqueCount="47">
  <si>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</si>
  <si>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</si>
  <si>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</si>
  <si>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</si>
  <si>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</si>
  <si>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</si>
  <si>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</si>
  <si>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</si>
  <si>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</si>
  <si>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</si>
  <si>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</si>
  <si>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</si>
  <si>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</si>
  <si>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</si>
  <si>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</si>
  <si>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</si>
  <si>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</si>
  <si>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</si>
  <si>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</si>
  <si>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</si>
  <si>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</si>
  <si>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</si>
  <si>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</si>
  <si>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</si>
  <si>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</si>
  <si>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</si>
  <si>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ОИ</t>
  </si>
  <si>
    <t>Диагностика газового оборудования</t>
  </si>
  <si>
    <t>Содержание жилья и текущий ремонт,  ОПУ</t>
  </si>
  <si>
    <t xml:space="preserve">Содержание жилья и текущий ремонт,  ОПУ </t>
  </si>
  <si>
    <t>Возмещение расходов совета МКД</t>
  </si>
  <si>
    <t>Январь 2024г.</t>
  </si>
  <si>
    <t>Февраль 2024г.</t>
  </si>
  <si>
    <t>Март 2024г.</t>
  </si>
  <si>
    <t>Апрель 2024г</t>
  </si>
  <si>
    <t>Май 2024г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</si>
  <si>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</si>
  <si>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</si>
  <si>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</si>
  <si>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</si>
  <si>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</si>
  <si>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</si>
  <si>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</si>
  <si>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</si>
  <si>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Видеонаблюдение</t>
  </si>
  <si>
    <t xml:space="preserve">      ОТЧЕТ по дому Васильева, 49 за период 01.01.2024г. по 31.12.2024г.</t>
  </si>
  <si>
    <t>Услуги видеонаблюдения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</si>
</sst>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31" zoomScale="75" workbookViewId="0">
      <selection activeCell="A37" sqref="A37"/>
    </sheetView>
  </sheetViews>
  <sheetFormatPr defaultRowHeight="13.2" x14ac:dyDescent="0.25"/>
  <cols>
    <col min="1" max="1" width="58.6640625" customWidth="1"/>
    <col min="2" max="2" width="14.33203125" customWidth="1"/>
    <col min="3" max="3" width="15" customWidth="1"/>
    <col min="4" max="4" width="14.109375" customWidth="1"/>
    <col min="5" max="5" width="14.88671875" customWidth="1"/>
    <col min="6" max="6" width="14.33203125" customWidth="1"/>
    <col min="7" max="7" width="14.109375" customWidth="1"/>
    <col min="8" max="13" width="14.33203125" customWidth="1"/>
    <col min="14" max="14" width="16.77734375" customWidth="1"/>
  </cols>
  <sheetData>
    <row r="1" spans="1:18" ht="20.25" customHeight="1" x14ac:dyDescent="0.4">
      <c r="A1" s="23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20">
        <v>-467173.93</v>
      </c>
      <c r="C5" s="20">
        <f t="shared" ref="C5:D6" si="0">B43</f>
        <v>-453080.81335000001</v>
      </c>
      <c r="D5" s="20">
        <f t="shared" si="0"/>
        <v>-437688.02507999999</v>
      </c>
      <c r="E5" s="20">
        <f t="shared" ref="E5:E6" si="1">D43</f>
        <v>-417531.27646999998</v>
      </c>
      <c r="F5" s="20">
        <f t="shared" ref="F5:F6" si="2">E43</f>
        <v>-407416.68223999999</v>
      </c>
      <c r="G5" s="20">
        <f t="shared" ref="G5:G6" si="3">F43</f>
        <v>-416713.05767999997</v>
      </c>
      <c r="H5" s="20">
        <f t="shared" ref="H5:H6" si="4">G43</f>
        <v>-389036.01712999993</v>
      </c>
      <c r="I5" s="20">
        <f t="shared" ref="I5:I6" si="5">H43</f>
        <v>-373903.86951999995</v>
      </c>
      <c r="J5" s="20">
        <f t="shared" ref="J5:J6" si="6">I43</f>
        <v>-350374.66809999995</v>
      </c>
      <c r="K5" s="20">
        <f t="shared" ref="K5:K6" si="7">J43</f>
        <v>-319166.08283999993</v>
      </c>
      <c r="L5" s="20">
        <f t="shared" ref="L5:L6" si="8">K43</f>
        <v>-313386.24942999997</v>
      </c>
      <c r="M5" s="20">
        <f t="shared" ref="M5:M6" si="9">L43</f>
        <v>-294023.65750999999</v>
      </c>
      <c r="N5" s="20">
        <f>B5</f>
        <v>-467173.93</v>
      </c>
    </row>
    <row r="6" spans="1:18" ht="21" customHeight="1" thickBot="1" x14ac:dyDescent="0.3">
      <c r="A6" s="7" t="s">
        <v>13</v>
      </c>
      <c r="B6" s="20">
        <v>-144969.54999999999</v>
      </c>
      <c r="C6" s="20">
        <f t="shared" si="0"/>
        <v>-157338.04999999999</v>
      </c>
      <c r="D6" s="20">
        <f t="shared" si="0"/>
        <v>-164710.79999999999</v>
      </c>
      <c r="E6" s="20">
        <f t="shared" si="1"/>
        <v>-176811.71999999997</v>
      </c>
      <c r="F6" s="20">
        <f t="shared" si="2"/>
        <v>-175856.99</v>
      </c>
      <c r="G6" s="20">
        <f t="shared" si="3"/>
        <v>-193647.72</v>
      </c>
      <c r="H6" s="20">
        <f t="shared" si="4"/>
        <v>-180179.52000000002</v>
      </c>
      <c r="I6" s="20">
        <f t="shared" si="5"/>
        <v>-186024.52000000002</v>
      </c>
      <c r="J6" s="20">
        <f t="shared" si="6"/>
        <v>-180318.31000000006</v>
      </c>
      <c r="K6" s="20">
        <f t="shared" si="7"/>
        <v>-187346.77000000008</v>
      </c>
      <c r="L6" s="20">
        <f t="shared" si="8"/>
        <v>-182580.7300000001</v>
      </c>
      <c r="M6" s="20">
        <f t="shared" si="9"/>
        <v>-184013.92000000013</v>
      </c>
      <c r="N6" s="20">
        <f>B6</f>
        <v>-144969.54999999999</v>
      </c>
    </row>
    <row r="7" spans="1:18" ht="20.25" customHeight="1" thickBot="1" x14ac:dyDescent="0.3">
      <c r="A7" s="8" t="s">
        <v>12</v>
      </c>
      <c r="B7" s="11">
        <f>SUM(B8:B15)</f>
        <v>85504.950000000012</v>
      </c>
      <c r="C7" s="11">
        <f>SUM(C8:C15)</f>
        <v>86060.910000000018</v>
      </c>
      <c r="D7" s="11">
        <f>SUM(D8:D15)</f>
        <v>89523.83</v>
      </c>
      <c r="E7" s="11">
        <f t="shared" ref="E7:M7" si="10">SUM(E8:E15)</f>
        <v>82072.790000000008</v>
      </c>
      <c r="F7" s="11">
        <f t="shared" si="10"/>
        <v>89110.780000000013</v>
      </c>
      <c r="G7" s="11">
        <f t="shared" si="10"/>
        <v>86351.650000000009</v>
      </c>
      <c r="H7" s="11">
        <f t="shared" si="10"/>
        <v>100291.62999999999</v>
      </c>
      <c r="I7" s="11">
        <f t="shared" si="10"/>
        <v>91202.760000000024</v>
      </c>
      <c r="J7" s="11">
        <f t="shared" si="10"/>
        <v>95571.180000000022</v>
      </c>
      <c r="K7" s="11">
        <f t="shared" si="10"/>
        <v>83522.630000000019</v>
      </c>
      <c r="L7" s="11">
        <f t="shared" si="10"/>
        <v>82908.260000000009</v>
      </c>
      <c r="M7" s="11">
        <f t="shared" si="10"/>
        <v>85026.810000000012</v>
      </c>
      <c r="N7" s="11">
        <f>SUM(B7:M7)</f>
        <v>1057148.1800000002</v>
      </c>
    </row>
    <row r="8" spans="1:18" ht="24.75" customHeight="1" thickBot="1" x14ac:dyDescent="0.3">
      <c r="A8" s="4" t="s">
        <v>28</v>
      </c>
      <c r="B8" s="12">
        <f t="shared" ref="B8:G8" si="11">78874.41+1484.19</f>
        <v>80358.600000000006</v>
      </c>
      <c r="C8" s="12">
        <f t="shared" si="11"/>
        <v>80358.600000000006</v>
      </c>
      <c r="D8" s="12">
        <f t="shared" si="11"/>
        <v>80358.600000000006</v>
      </c>
      <c r="E8" s="12">
        <f t="shared" si="11"/>
        <v>80358.600000000006</v>
      </c>
      <c r="F8" s="12">
        <f t="shared" si="11"/>
        <v>80358.600000000006</v>
      </c>
      <c r="G8" s="12">
        <f t="shared" si="11"/>
        <v>80358.600000000006</v>
      </c>
      <c r="H8" s="12">
        <f>78874.41+1484.19</f>
        <v>80358.600000000006</v>
      </c>
      <c r="I8" s="12">
        <f>78963.19+1485.86</f>
        <v>80449.05</v>
      </c>
      <c r="J8" s="12">
        <f>78856.55+1483.85</f>
        <v>80340.400000000009</v>
      </c>
      <c r="K8" s="12">
        <f>78856.55+1483.85</f>
        <v>80340.400000000009</v>
      </c>
      <c r="L8" s="12">
        <f>78856.55+1483.85</f>
        <v>80340.400000000009</v>
      </c>
      <c r="M8" s="12">
        <f>78856.55+1483.85</f>
        <v>80340.400000000009</v>
      </c>
      <c r="N8" s="12">
        <f>SUM(B8:M8)</f>
        <v>964320.85000000009</v>
      </c>
    </row>
    <row r="9" spans="1:18" ht="22.2" customHeight="1" thickBot="1" x14ac:dyDescent="0.3">
      <c r="A9" s="4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-486.82</v>
      </c>
      <c r="M9" s="12">
        <v>0</v>
      </c>
      <c r="N9" s="12">
        <f t="shared" ref="N9:N15" si="12">SUM(B9:M9)</f>
        <v>-486.82</v>
      </c>
    </row>
    <row r="10" spans="1:18" ht="24.75" customHeight="1" thickBot="1" x14ac:dyDescent="0.3">
      <c r="A10" s="4" t="s">
        <v>18</v>
      </c>
      <c r="B10" s="12">
        <v>234.07</v>
      </c>
      <c r="C10" s="12">
        <v>234.07</v>
      </c>
      <c r="D10" s="12">
        <v>234.11</v>
      </c>
      <c r="E10" s="12">
        <v>234.11</v>
      </c>
      <c r="F10" s="12">
        <v>234.11</v>
      </c>
      <c r="G10" s="12">
        <v>234.11</v>
      </c>
      <c r="H10" s="12">
        <v>258.64999999999998</v>
      </c>
      <c r="I10" s="12">
        <v>258.91000000000003</v>
      </c>
      <c r="J10" s="12">
        <v>258.63</v>
      </c>
      <c r="K10" s="12">
        <v>258.63</v>
      </c>
      <c r="L10" s="12">
        <v>258.63</v>
      </c>
      <c r="M10" s="12">
        <v>258.63</v>
      </c>
      <c r="N10" s="12">
        <f t="shared" si="12"/>
        <v>2956.6600000000003</v>
      </c>
    </row>
    <row r="11" spans="1:18" ht="24.75" customHeight="1" thickBot="1" x14ac:dyDescent="0.3">
      <c r="A11" s="4" t="s">
        <v>19</v>
      </c>
      <c r="B11" s="12">
        <v>3860.64</v>
      </c>
      <c r="C11" s="12">
        <v>4416.6000000000004</v>
      </c>
      <c r="D11" s="12">
        <v>7879.48</v>
      </c>
      <c r="E11" s="12">
        <v>428.44</v>
      </c>
      <c r="F11" s="12">
        <v>7466.43</v>
      </c>
      <c r="G11" s="12">
        <v>4707.3</v>
      </c>
      <c r="H11" s="12">
        <v>14948.09</v>
      </c>
      <c r="I11" s="12">
        <v>7570.24</v>
      </c>
      <c r="J11" s="12">
        <v>12048.55</v>
      </c>
      <c r="K11" s="12">
        <v>0</v>
      </c>
      <c r="L11" s="12">
        <v>133.49</v>
      </c>
      <c r="M11" s="12">
        <v>3903.08</v>
      </c>
      <c r="N11" s="12">
        <f t="shared" si="12"/>
        <v>67362.339999999982</v>
      </c>
    </row>
    <row r="12" spans="1:18" ht="24.75" customHeight="1" thickBot="1" x14ac:dyDescent="0.3">
      <c r="A12" s="4" t="s">
        <v>26</v>
      </c>
      <c r="B12" s="12">
        <v>451.64</v>
      </c>
      <c r="C12" s="12">
        <v>451.64</v>
      </c>
      <c r="D12" s="12">
        <v>451.64</v>
      </c>
      <c r="E12" s="12">
        <v>451.64</v>
      </c>
      <c r="F12" s="12">
        <v>451.64</v>
      </c>
      <c r="G12" s="12">
        <v>451.64</v>
      </c>
      <c r="H12" s="12">
        <v>521.80999999999995</v>
      </c>
      <c r="I12" s="12">
        <v>522.32000000000005</v>
      </c>
      <c r="J12" s="12">
        <v>521.77</v>
      </c>
      <c r="K12" s="12">
        <v>521.77</v>
      </c>
      <c r="L12" s="12">
        <v>260.73</v>
      </c>
      <c r="M12" s="12">
        <v>-1877.13</v>
      </c>
      <c r="N12" s="12">
        <f t="shared" si="12"/>
        <v>3181.1099999999997</v>
      </c>
    </row>
    <row r="13" spans="1:18" ht="24.75" customHeight="1" thickBot="1" x14ac:dyDescent="0.3">
      <c r="A13" s="4" t="s">
        <v>44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3604.48</v>
      </c>
      <c r="I13" s="12">
        <v>1802.24</v>
      </c>
      <c r="J13" s="12">
        <v>1801.83</v>
      </c>
      <c r="K13" s="12">
        <v>1801.83</v>
      </c>
      <c r="L13" s="12">
        <v>1801.83</v>
      </c>
      <c r="M13" s="12">
        <v>1801.83</v>
      </c>
      <c r="N13" s="12">
        <f t="shared" si="12"/>
        <v>12614.04</v>
      </c>
    </row>
    <row r="14" spans="1:18" ht="24.75" hidden="1" customHeight="1" thickBot="1" x14ac:dyDescent="0.3">
      <c r="A14" s="21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12"/>
        <v>0</v>
      </c>
    </row>
    <row r="15" spans="1:18" ht="24.75" customHeight="1" thickBot="1" x14ac:dyDescent="0.3">
      <c r="A15" s="4" t="s">
        <v>15</v>
      </c>
      <c r="B15" s="12">
        <v>600</v>
      </c>
      <c r="C15" s="12">
        <v>600</v>
      </c>
      <c r="D15" s="12">
        <v>600</v>
      </c>
      <c r="E15" s="12">
        <v>600</v>
      </c>
      <c r="F15" s="12">
        <v>600</v>
      </c>
      <c r="G15" s="12">
        <v>600</v>
      </c>
      <c r="H15" s="12">
        <v>600</v>
      </c>
      <c r="I15" s="12">
        <v>600</v>
      </c>
      <c r="J15" s="12">
        <v>600</v>
      </c>
      <c r="K15" s="12">
        <v>600</v>
      </c>
      <c r="L15" s="12">
        <v>600</v>
      </c>
      <c r="M15" s="12">
        <v>600</v>
      </c>
      <c r="N15" s="12">
        <f t="shared" si="12"/>
        <v>7200</v>
      </c>
    </row>
    <row r="16" spans="1:18" ht="20.25" customHeight="1" thickBot="1" x14ac:dyDescent="0.3">
      <c r="A16" s="9" t="s">
        <v>8</v>
      </c>
      <c r="B16" s="13">
        <f>SUM(B17:B24)</f>
        <v>73136.45</v>
      </c>
      <c r="C16" s="13">
        <f>SUM(C17:C24)</f>
        <v>78688.160000000003</v>
      </c>
      <c r="D16" s="13">
        <f>SUM(D17:D24)</f>
        <v>77422.91</v>
      </c>
      <c r="E16" s="13">
        <f t="shared" ref="E16:M16" si="13">SUM(E17:E24)</f>
        <v>83027.520000000004</v>
      </c>
      <c r="F16" s="13">
        <f t="shared" si="13"/>
        <v>71320.05</v>
      </c>
      <c r="G16" s="13">
        <f t="shared" si="13"/>
        <v>99819.85</v>
      </c>
      <c r="H16" s="13">
        <f t="shared" si="13"/>
        <v>94446.63</v>
      </c>
      <c r="I16" s="13">
        <f t="shared" si="13"/>
        <v>96908.969999999987</v>
      </c>
      <c r="J16" s="13">
        <f t="shared" si="13"/>
        <v>88542.720000000001</v>
      </c>
      <c r="K16" s="13">
        <f t="shared" si="13"/>
        <v>88288.67</v>
      </c>
      <c r="L16" s="13">
        <f t="shared" si="13"/>
        <v>81475.069999999978</v>
      </c>
      <c r="M16" s="13">
        <f t="shared" si="13"/>
        <v>78790.8</v>
      </c>
      <c r="N16" s="13">
        <f>SUM(B16:M16)</f>
        <v>1011867.7999999999</v>
      </c>
    </row>
    <row r="17" spans="1:15" ht="24" customHeight="1" thickBot="1" x14ac:dyDescent="0.3">
      <c r="A17" s="4" t="s">
        <v>29</v>
      </c>
      <c r="B17" s="12">
        <f>66641.24+1265.43+52.8</f>
        <v>67959.47</v>
      </c>
      <c r="C17" s="12">
        <f>72574.26+1570.06+0.35</f>
        <v>74144.67</v>
      </c>
      <c r="D17" s="12">
        <f>71223.43+1370.41</f>
        <v>72593.84</v>
      </c>
      <c r="E17" s="12">
        <f>73177.99+1524.98+264</f>
        <v>74966.97</v>
      </c>
      <c r="F17" s="12">
        <f>68450.66+1338.78+13</f>
        <v>69802.44</v>
      </c>
      <c r="G17" s="12">
        <f>89259.47+16.2+1679.49+352.34</f>
        <v>91307.5</v>
      </c>
      <c r="H17" s="12">
        <f>84328.2+1889.46+414</f>
        <v>86631.66</v>
      </c>
      <c r="I17" s="12">
        <f>78772.16+1449.37+20</f>
        <v>80241.53</v>
      </c>
      <c r="J17" s="12">
        <f>76401.35+1508.44+250.93</f>
        <v>78160.72</v>
      </c>
      <c r="K17" s="12">
        <f>72755.22+1330.13+50</f>
        <v>74135.350000000006</v>
      </c>
      <c r="L17" s="12">
        <f>76367.51+1362.5</f>
        <v>77730.009999999995</v>
      </c>
      <c r="M17" s="12">
        <f>73576.97-257.49+1330.16</f>
        <v>74649.64</v>
      </c>
      <c r="N17" s="12">
        <f>SUM(B17:M17)</f>
        <v>922323.8</v>
      </c>
    </row>
    <row r="18" spans="1:15" ht="26.25" customHeight="1" thickBot="1" x14ac:dyDescent="0.3">
      <c r="A18" s="4" t="s">
        <v>17</v>
      </c>
      <c r="B18" s="12">
        <v>1.23</v>
      </c>
      <c r="C18" s="12">
        <v>0.56000000000000005</v>
      </c>
      <c r="D18" s="12">
        <v>0</v>
      </c>
      <c r="E18" s="12">
        <v>1.0900000000000001</v>
      </c>
      <c r="F18" s="12">
        <v>0.4</v>
      </c>
      <c r="G18" s="12">
        <v>22.77</v>
      </c>
      <c r="H18" s="12">
        <v>6.93</v>
      </c>
      <c r="I18" s="12">
        <v>0.7</v>
      </c>
      <c r="J18" s="12">
        <v>1.1100000000000001</v>
      </c>
      <c r="K18" s="12">
        <v>0.25</v>
      </c>
      <c r="L18" s="12">
        <v>0.43</v>
      </c>
      <c r="M18" s="12">
        <v>0</v>
      </c>
      <c r="N18" s="12">
        <f t="shared" ref="N18:N24" si="14">SUM(B18:M18)</f>
        <v>35.470000000000006</v>
      </c>
    </row>
    <row r="19" spans="1:15" ht="26.25" customHeight="1" thickBot="1" x14ac:dyDescent="0.3">
      <c r="A19" s="4" t="s">
        <v>18</v>
      </c>
      <c r="B19" s="12">
        <v>212.94</v>
      </c>
      <c r="C19" s="12">
        <v>217.08</v>
      </c>
      <c r="D19" s="12">
        <v>215.16</v>
      </c>
      <c r="E19" s="12">
        <v>216.63</v>
      </c>
      <c r="F19" s="12">
        <v>203.25</v>
      </c>
      <c r="G19" s="12">
        <v>266.75</v>
      </c>
      <c r="H19" s="12">
        <v>251.46</v>
      </c>
      <c r="I19" s="12">
        <v>255.56</v>
      </c>
      <c r="J19" s="12">
        <v>249.43</v>
      </c>
      <c r="K19" s="12">
        <v>238.39</v>
      </c>
      <c r="L19" s="12">
        <v>249.42</v>
      </c>
      <c r="M19" s="12">
        <v>240.13</v>
      </c>
      <c r="N19" s="12">
        <f t="shared" si="14"/>
        <v>2816.2</v>
      </c>
    </row>
    <row r="20" spans="1:15" ht="26.25" customHeight="1" thickBot="1" x14ac:dyDescent="0.3">
      <c r="A20" s="4" t="s">
        <v>19</v>
      </c>
      <c r="B20" s="12">
        <v>2551.92</v>
      </c>
      <c r="C20" s="12">
        <v>3507</v>
      </c>
      <c r="D20" s="12">
        <v>3798.74</v>
      </c>
      <c r="E20" s="12">
        <v>7024.95</v>
      </c>
      <c r="F20" s="12">
        <v>521.83000000000004</v>
      </c>
      <c r="G20" s="12">
        <v>7310.72</v>
      </c>
      <c r="H20" s="12">
        <v>4895.63</v>
      </c>
      <c r="I20" s="12">
        <v>13613.19</v>
      </c>
      <c r="J20" s="12">
        <v>7425.14</v>
      </c>
      <c r="K20" s="12">
        <v>10838.92</v>
      </c>
      <c r="L20" s="12">
        <v>937.92</v>
      </c>
      <c r="M20" s="12">
        <v>328.85</v>
      </c>
      <c r="N20" s="12">
        <f t="shared" si="14"/>
        <v>62754.81</v>
      </c>
    </row>
    <row r="21" spans="1:15" ht="26.25" customHeight="1" thickBot="1" x14ac:dyDescent="0.3">
      <c r="A21" s="4" t="s">
        <v>26</v>
      </c>
      <c r="B21" s="12">
        <v>410.89</v>
      </c>
      <c r="C21" s="12">
        <v>418.85</v>
      </c>
      <c r="D21" s="12">
        <v>415.17</v>
      </c>
      <c r="E21" s="12">
        <v>417.88</v>
      </c>
      <c r="F21" s="12">
        <v>392.13</v>
      </c>
      <c r="G21" s="12">
        <v>512.11</v>
      </c>
      <c r="H21" s="12">
        <v>485.12</v>
      </c>
      <c r="I21" s="12">
        <v>513.12</v>
      </c>
      <c r="J21" s="12">
        <v>502.08</v>
      </c>
      <c r="K21" s="12">
        <v>480.65</v>
      </c>
      <c r="L21" s="12">
        <v>502.2</v>
      </c>
      <c r="M21" s="12">
        <v>250.68</v>
      </c>
      <c r="N21" s="12">
        <f t="shared" si="14"/>
        <v>5300.88</v>
      </c>
    </row>
    <row r="22" spans="1:15" ht="26.25" customHeight="1" thickBot="1" x14ac:dyDescent="0.3">
      <c r="A22" s="4" t="s">
        <v>44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1375.83</v>
      </c>
      <c r="I22" s="12">
        <v>1884.87</v>
      </c>
      <c r="J22" s="12">
        <v>1804.24</v>
      </c>
      <c r="K22" s="12">
        <v>1595.11</v>
      </c>
      <c r="L22" s="12">
        <v>1655.09</v>
      </c>
      <c r="M22" s="12">
        <v>1721.5</v>
      </c>
      <c r="N22" s="12">
        <f t="shared" si="14"/>
        <v>10036.64</v>
      </c>
    </row>
    <row r="23" spans="1:15" ht="26.25" hidden="1" customHeight="1" thickBot="1" x14ac:dyDescent="0.3">
      <c r="A23" s="21" t="s">
        <v>27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f t="shared" si="14"/>
        <v>0</v>
      </c>
    </row>
    <row r="24" spans="1:15" ht="26.25" customHeight="1" thickBot="1" x14ac:dyDescent="0.3">
      <c r="A24" s="4" t="s">
        <v>15</v>
      </c>
      <c r="B24" s="14">
        <v>2000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800</v>
      </c>
      <c r="I24" s="14">
        <v>400</v>
      </c>
      <c r="J24" s="14">
        <v>400</v>
      </c>
      <c r="K24" s="12">
        <v>1000</v>
      </c>
      <c r="L24" s="12">
        <v>400</v>
      </c>
      <c r="M24" s="12">
        <v>1600</v>
      </c>
      <c r="N24" s="12">
        <f t="shared" si="14"/>
        <v>8600</v>
      </c>
      <c r="O24" s="3"/>
    </row>
    <row r="25" spans="1:15" ht="21.75" customHeight="1" thickBot="1" x14ac:dyDescent="0.3">
      <c r="A25" s="10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19.5" customHeight="1" thickBot="1" x14ac:dyDescent="0.3">
      <c r="A26" s="4" t="s">
        <v>1</v>
      </c>
      <c r="B26" s="12">
        <f t="shared" ref="B26:M26" si="15">3533.8*0.6</f>
        <v>2120.2800000000002</v>
      </c>
      <c r="C26" s="12">
        <f t="shared" si="15"/>
        <v>2120.2800000000002</v>
      </c>
      <c r="D26" s="12">
        <f t="shared" si="15"/>
        <v>2120.2800000000002</v>
      </c>
      <c r="E26" s="12">
        <f t="shared" si="15"/>
        <v>2120.2800000000002</v>
      </c>
      <c r="F26" s="12">
        <f t="shared" si="15"/>
        <v>2120.2800000000002</v>
      </c>
      <c r="G26" s="12">
        <f t="shared" si="15"/>
        <v>2120.2800000000002</v>
      </c>
      <c r="H26" s="12">
        <f t="shared" si="15"/>
        <v>2120.2800000000002</v>
      </c>
      <c r="I26" s="12">
        <f t="shared" si="15"/>
        <v>2120.2800000000002</v>
      </c>
      <c r="J26" s="12">
        <f t="shared" si="15"/>
        <v>2120.2800000000002</v>
      </c>
      <c r="K26" s="12">
        <f t="shared" si="15"/>
        <v>2120.2800000000002</v>
      </c>
      <c r="L26" s="12">
        <f t="shared" si="15"/>
        <v>2120.2800000000002</v>
      </c>
      <c r="M26" s="12">
        <f t="shared" si="15"/>
        <v>2120.2800000000002</v>
      </c>
      <c r="N26" s="12">
        <f t="shared" ref="N26:N40" si="16">SUM(B26:M26)</f>
        <v>25443.359999999997</v>
      </c>
    </row>
    <row r="27" spans="1:15" ht="22.5" customHeight="1" thickBot="1" x14ac:dyDescent="0.3">
      <c r="A27" s="4" t="s">
        <v>2</v>
      </c>
      <c r="B27" s="12">
        <f t="shared" ref="B27:M27" si="17">3533.8*0.17</f>
        <v>600.74600000000009</v>
      </c>
      <c r="C27" s="12">
        <f t="shared" si="17"/>
        <v>600.74600000000009</v>
      </c>
      <c r="D27" s="12">
        <f t="shared" si="17"/>
        <v>600.74600000000009</v>
      </c>
      <c r="E27" s="12">
        <f t="shared" si="17"/>
        <v>600.74600000000009</v>
      </c>
      <c r="F27" s="12">
        <f t="shared" si="17"/>
        <v>600.74600000000009</v>
      </c>
      <c r="G27" s="12">
        <f t="shared" si="17"/>
        <v>600.74600000000009</v>
      </c>
      <c r="H27" s="12">
        <f t="shared" si="17"/>
        <v>600.74600000000009</v>
      </c>
      <c r="I27" s="12">
        <f t="shared" si="17"/>
        <v>600.74600000000009</v>
      </c>
      <c r="J27" s="12">
        <f t="shared" si="17"/>
        <v>600.74600000000009</v>
      </c>
      <c r="K27" s="12">
        <f t="shared" si="17"/>
        <v>600.74600000000009</v>
      </c>
      <c r="L27" s="12">
        <f t="shared" si="17"/>
        <v>600.74600000000009</v>
      </c>
      <c r="M27" s="12">
        <f t="shared" si="17"/>
        <v>600.74600000000009</v>
      </c>
      <c r="N27" s="12">
        <f t="shared" si="16"/>
        <v>7208.9520000000011</v>
      </c>
    </row>
    <row r="28" spans="1:15" ht="21" customHeight="1" thickBot="1" x14ac:dyDescent="0.3">
      <c r="A28" s="4" t="s">
        <v>3</v>
      </c>
      <c r="B28" s="12">
        <f>84904.95*2.3%</f>
        <v>1952.81385</v>
      </c>
      <c r="C28" s="12">
        <f>85460.91*2.3%</f>
        <v>1965.6009300000001</v>
      </c>
      <c r="D28" s="12">
        <f>88923.83*2.3%</f>
        <v>2045.24809</v>
      </c>
      <c r="E28" s="12">
        <f>81472.79*2.3%</f>
        <v>1873.8741699999998</v>
      </c>
      <c r="F28" s="12">
        <f>88510.78*2.3%</f>
        <v>2035.74794</v>
      </c>
      <c r="G28" s="12">
        <f>85751.65*2.3%</f>
        <v>1972.2879499999999</v>
      </c>
      <c r="H28" s="12">
        <f>99691.63*2.3%</f>
        <v>2292.9074900000001</v>
      </c>
      <c r="I28" s="12">
        <f>90602.76*2.3%</f>
        <v>2083.86348</v>
      </c>
      <c r="J28" s="12">
        <f>94971.18*2.3%</f>
        <v>2184.3371399999996</v>
      </c>
      <c r="K28" s="12">
        <f>82922.63*2.3%</f>
        <v>1907.2204900000002</v>
      </c>
      <c r="L28" s="12">
        <f>82308.26*2.3%</f>
        <v>1893.0899799999997</v>
      </c>
      <c r="M28" s="12">
        <f>84426.81*2.3%</f>
        <v>1941.8166299999998</v>
      </c>
      <c r="N28" s="12">
        <f t="shared" si="16"/>
        <v>24148.808140000001</v>
      </c>
    </row>
    <row r="29" spans="1:15" ht="23.25" customHeight="1" thickBot="1" x14ac:dyDescent="0.3">
      <c r="A29" s="4" t="s">
        <v>4</v>
      </c>
      <c r="B29" s="12">
        <f>71136.45*3%</f>
        <v>2134.0934999999999</v>
      </c>
      <c r="C29" s="12">
        <f>78288.16*3%</f>
        <v>2348.6448</v>
      </c>
      <c r="D29" s="12">
        <f>77022.91*3%</f>
        <v>2310.6873000000001</v>
      </c>
      <c r="E29" s="12">
        <f>82627.52*3%</f>
        <v>2478.8256000000001</v>
      </c>
      <c r="F29" s="12">
        <f>70920.05*3%</f>
        <v>2127.6015000000002</v>
      </c>
      <c r="G29" s="12">
        <f>99419.85*3%</f>
        <v>2982.5954999999999</v>
      </c>
      <c r="H29" s="12">
        <f>93646.63*3%</f>
        <v>2809.3989000000001</v>
      </c>
      <c r="I29" s="12">
        <f>96508.97*3%</f>
        <v>2895.2691</v>
      </c>
      <c r="J29" s="12">
        <f>88142.72*3%</f>
        <v>2644.2815999999998</v>
      </c>
      <c r="K29" s="12">
        <f>87288.67*3%</f>
        <v>2618.6601000000001</v>
      </c>
      <c r="L29" s="12">
        <f>81075.07*3%</f>
        <v>2432.2521000000002</v>
      </c>
      <c r="M29" s="12">
        <f>77190.8*3%</f>
        <v>2315.7240000000002</v>
      </c>
      <c r="N29" s="12">
        <f t="shared" si="16"/>
        <v>30098.034</v>
      </c>
    </row>
    <row r="30" spans="1:15" ht="23.25" customHeight="1" thickBot="1" x14ac:dyDescent="0.3">
      <c r="A30" s="4" t="s">
        <v>9</v>
      </c>
      <c r="B30" s="22">
        <f t="shared" ref="B30:M30" si="18">3533.8*9.7</f>
        <v>34277.86</v>
      </c>
      <c r="C30" s="22">
        <f t="shared" si="18"/>
        <v>34277.86</v>
      </c>
      <c r="D30" s="22">
        <f t="shared" si="18"/>
        <v>34277.86</v>
      </c>
      <c r="E30" s="22">
        <f t="shared" si="18"/>
        <v>34277.86</v>
      </c>
      <c r="F30" s="22">
        <f t="shared" si="18"/>
        <v>34277.86</v>
      </c>
      <c r="G30" s="22">
        <f t="shared" si="18"/>
        <v>34277.86</v>
      </c>
      <c r="H30" s="22">
        <f t="shared" si="18"/>
        <v>34277.86</v>
      </c>
      <c r="I30" s="22">
        <f t="shared" si="18"/>
        <v>34277.86</v>
      </c>
      <c r="J30" s="22">
        <f t="shared" si="18"/>
        <v>34277.86</v>
      </c>
      <c r="K30" s="22">
        <f t="shared" si="18"/>
        <v>34277.86</v>
      </c>
      <c r="L30" s="22">
        <f t="shared" si="18"/>
        <v>34277.86</v>
      </c>
      <c r="M30" s="22">
        <f t="shared" si="18"/>
        <v>34277.86</v>
      </c>
      <c r="N30" s="12">
        <f t="shared" si="16"/>
        <v>411334.31999999989</v>
      </c>
    </row>
    <row r="31" spans="1:15" ht="26.25" customHeight="1" thickBot="1" x14ac:dyDescent="0.3">
      <c r="A31" s="4" t="s">
        <v>20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f t="shared" si="16"/>
        <v>0</v>
      </c>
    </row>
    <row r="32" spans="1:15" ht="26.25" customHeight="1" thickBot="1" x14ac:dyDescent="0.3">
      <c r="A32" s="4" t="s">
        <v>21</v>
      </c>
      <c r="B32" s="12">
        <v>351.08</v>
      </c>
      <c r="C32" s="12">
        <v>351.08</v>
      </c>
      <c r="D32" s="12">
        <v>351.08</v>
      </c>
      <c r="E32" s="12">
        <v>351.08</v>
      </c>
      <c r="F32" s="12">
        <v>351.08</v>
      </c>
      <c r="G32" s="12">
        <v>351.08</v>
      </c>
      <c r="H32" s="12">
        <v>387.65</v>
      </c>
      <c r="I32" s="12">
        <v>387.65</v>
      </c>
      <c r="J32" s="12">
        <v>387.65</v>
      </c>
      <c r="K32" s="12">
        <v>387.65</v>
      </c>
      <c r="L32" s="12">
        <v>387.65</v>
      </c>
      <c r="M32" s="12">
        <v>387.65</v>
      </c>
      <c r="N32" s="12">
        <f t="shared" si="16"/>
        <v>4432.38</v>
      </c>
    </row>
    <row r="33" spans="1:14" ht="26.25" customHeight="1" thickBot="1" x14ac:dyDescent="0.3">
      <c r="A33" s="4" t="s">
        <v>22</v>
      </c>
      <c r="B33" s="12">
        <v>4416.6000000000004</v>
      </c>
      <c r="C33" s="12">
        <v>7879.5</v>
      </c>
      <c r="D33" s="12">
        <v>428.4</v>
      </c>
      <c r="E33" s="12">
        <v>7466.4</v>
      </c>
      <c r="F33" s="12">
        <v>4707.3</v>
      </c>
      <c r="G33" s="12">
        <v>14948.1</v>
      </c>
      <c r="H33" s="12">
        <v>7567.16</v>
      </c>
      <c r="I33" s="12">
        <v>12048.52</v>
      </c>
      <c r="J33" s="12">
        <v>0</v>
      </c>
      <c r="K33" s="12">
        <v>133.44</v>
      </c>
      <c r="L33" s="12">
        <v>3903.12</v>
      </c>
      <c r="M33" s="12">
        <v>3886.44</v>
      </c>
      <c r="N33" s="12">
        <f t="shared" si="16"/>
        <v>67384.98000000001</v>
      </c>
    </row>
    <row r="34" spans="1:14" ht="26.25" customHeight="1" thickBot="1" x14ac:dyDescent="0.3">
      <c r="A34" s="4" t="s">
        <v>26</v>
      </c>
      <c r="B34" s="12">
        <v>451.63</v>
      </c>
      <c r="C34" s="12">
        <v>451.63</v>
      </c>
      <c r="D34" s="12">
        <v>451.63</v>
      </c>
      <c r="E34" s="12">
        <v>451.63</v>
      </c>
      <c r="F34" s="12">
        <v>451.63</v>
      </c>
      <c r="G34" s="12">
        <v>451.63</v>
      </c>
      <c r="H34" s="12">
        <v>260.75</v>
      </c>
      <c r="I34" s="12">
        <v>260.75</v>
      </c>
      <c r="J34" s="12">
        <v>260.75</v>
      </c>
      <c r="K34" s="12">
        <v>260.75</v>
      </c>
      <c r="L34" s="12">
        <v>260.75</v>
      </c>
      <c r="M34" s="12">
        <v>260.75</v>
      </c>
      <c r="N34" s="12">
        <f t="shared" si="16"/>
        <v>4274.2800000000007</v>
      </c>
    </row>
    <row r="35" spans="1:14" ht="22.5" customHeight="1" thickBot="1" x14ac:dyDescent="0.3">
      <c r="A35" s="4" t="s">
        <v>6</v>
      </c>
      <c r="B35" s="22">
        <f t="shared" ref="B35:M35" si="19">3533.8*3.35</f>
        <v>11838.230000000001</v>
      </c>
      <c r="C35" s="22">
        <f t="shared" si="19"/>
        <v>11838.230000000001</v>
      </c>
      <c r="D35" s="22">
        <f t="shared" si="19"/>
        <v>11838.230000000001</v>
      </c>
      <c r="E35" s="22">
        <f t="shared" si="19"/>
        <v>11838.230000000001</v>
      </c>
      <c r="F35" s="22">
        <f t="shared" si="19"/>
        <v>11838.230000000001</v>
      </c>
      <c r="G35" s="22">
        <f t="shared" si="19"/>
        <v>11838.230000000001</v>
      </c>
      <c r="H35" s="22">
        <f t="shared" si="19"/>
        <v>11838.230000000001</v>
      </c>
      <c r="I35" s="22">
        <f t="shared" si="19"/>
        <v>11838.230000000001</v>
      </c>
      <c r="J35" s="22">
        <f t="shared" si="19"/>
        <v>11838.230000000001</v>
      </c>
      <c r="K35" s="22">
        <f t="shared" si="19"/>
        <v>11838.230000000001</v>
      </c>
      <c r="L35" s="22">
        <f t="shared" si="19"/>
        <v>11838.230000000001</v>
      </c>
      <c r="M35" s="22">
        <f t="shared" si="19"/>
        <v>11838.230000000001</v>
      </c>
      <c r="N35" s="12">
        <f t="shared" si="16"/>
        <v>142058.75999999998</v>
      </c>
    </row>
    <row r="36" spans="1:14" ht="21.75" hidden="1" customHeight="1" thickBot="1" x14ac:dyDescent="0.3">
      <c r="A36" s="4" t="s">
        <v>30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16"/>
        <v>0</v>
      </c>
    </row>
    <row r="37" spans="1:14" ht="21.75" customHeight="1" thickBot="1" x14ac:dyDescent="0.3">
      <c r="A37" s="4" t="s">
        <v>46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1700</v>
      </c>
      <c r="H37" s="12">
        <v>1700</v>
      </c>
      <c r="I37" s="12">
        <v>1700</v>
      </c>
      <c r="J37" s="12">
        <v>1700</v>
      </c>
      <c r="K37" s="12">
        <v>1700</v>
      </c>
      <c r="L37" s="12">
        <v>1700</v>
      </c>
      <c r="M37" s="12">
        <v>1700</v>
      </c>
      <c r="N37" s="12">
        <f t="shared" si="16"/>
        <v>11900</v>
      </c>
    </row>
    <row r="38" spans="1:14" ht="24.75" customHeight="1" thickBot="1" x14ac:dyDescent="0.3">
      <c r="A38" s="4" t="s">
        <v>25</v>
      </c>
      <c r="B38" s="12">
        <v>900</v>
      </c>
      <c r="C38" s="12">
        <v>900</v>
      </c>
      <c r="D38" s="12">
        <v>900</v>
      </c>
      <c r="E38" s="12">
        <v>900</v>
      </c>
      <c r="F38" s="12">
        <v>900</v>
      </c>
      <c r="G38" s="12">
        <v>900</v>
      </c>
      <c r="H38" s="12">
        <v>900</v>
      </c>
      <c r="I38" s="12">
        <v>900</v>
      </c>
      <c r="J38" s="12">
        <v>900</v>
      </c>
      <c r="K38" s="12">
        <v>900</v>
      </c>
      <c r="L38" s="12">
        <v>900</v>
      </c>
      <c r="M38" s="12">
        <v>900</v>
      </c>
      <c r="N38" s="12">
        <f t="shared" si="16"/>
        <v>10800</v>
      </c>
    </row>
    <row r="39" spans="1:14" ht="24.75" customHeight="1" thickBot="1" x14ac:dyDescent="0.3">
      <c r="A39" s="4" t="s">
        <v>14</v>
      </c>
      <c r="B39" s="12">
        <v>0</v>
      </c>
      <c r="C39" s="12">
        <v>0</v>
      </c>
      <c r="D39" s="12">
        <v>0</v>
      </c>
      <c r="E39" s="12">
        <v>0</v>
      </c>
      <c r="F39" s="12">
        <v>21205.95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f t="shared" si="16"/>
        <v>21205.95</v>
      </c>
    </row>
    <row r="40" spans="1:14" ht="24" customHeight="1" thickBot="1" x14ac:dyDescent="0.3">
      <c r="A40" s="4" t="s">
        <v>10</v>
      </c>
      <c r="B40" s="12">
        <v>0</v>
      </c>
      <c r="C40" s="12">
        <f>130+431.8</f>
        <v>561.79999999999995</v>
      </c>
      <c r="D40" s="12">
        <f>1942</f>
        <v>1942</v>
      </c>
      <c r="E40" s="12">
        <f>8747.8+1806.2</f>
        <v>10554</v>
      </c>
      <c r="F40" s="12">
        <v>0</v>
      </c>
      <c r="G40" s="12">
        <v>0</v>
      </c>
      <c r="H40" s="12">
        <f>11094.2+130+3335.3</f>
        <v>14559.5</v>
      </c>
      <c r="I40" s="12">
        <f>3403+863.6</f>
        <v>4266.6000000000004</v>
      </c>
      <c r="J40" s="12">
        <f>210+210</f>
        <v>420</v>
      </c>
      <c r="K40" s="12">
        <f>25764</f>
        <v>25764</v>
      </c>
      <c r="L40" s="12">
        <f>1693.5+105</f>
        <v>1798.5</v>
      </c>
      <c r="M40" s="12">
        <f>1387.5+2757.4</f>
        <v>4144.8999999999996</v>
      </c>
      <c r="N40" s="12">
        <f t="shared" si="16"/>
        <v>64011.3</v>
      </c>
    </row>
    <row r="41" spans="1:14" ht="22.5" customHeight="1" thickBot="1" x14ac:dyDescent="0.3">
      <c r="A41" s="8" t="s">
        <v>23</v>
      </c>
      <c r="B41" s="11">
        <f t="shared" ref="B41:M41" si="20">SUM(B26:B40)</f>
        <v>59043.333350000001</v>
      </c>
      <c r="C41" s="11">
        <f t="shared" si="20"/>
        <v>63295.371730000006</v>
      </c>
      <c r="D41" s="11">
        <f t="shared" si="20"/>
        <v>57266.161390000001</v>
      </c>
      <c r="E41" s="11">
        <f t="shared" si="20"/>
        <v>72912.925770000002</v>
      </c>
      <c r="F41" s="11">
        <f t="shared" si="20"/>
        <v>80616.425440000006</v>
      </c>
      <c r="G41" s="11">
        <f t="shared" si="20"/>
        <v>72142.809450000001</v>
      </c>
      <c r="H41" s="11">
        <f t="shared" si="20"/>
        <v>79314.482390000019</v>
      </c>
      <c r="I41" s="11">
        <f t="shared" si="20"/>
        <v>73379.768580000004</v>
      </c>
      <c r="J41" s="11">
        <f t="shared" si="20"/>
        <v>57334.134740000009</v>
      </c>
      <c r="K41" s="11">
        <f t="shared" si="20"/>
        <v>82508.836590000006</v>
      </c>
      <c r="L41" s="11">
        <f t="shared" si="20"/>
        <v>62112.478080000008</v>
      </c>
      <c r="M41" s="11">
        <f t="shared" si="20"/>
        <v>64374.39663000001</v>
      </c>
      <c r="N41" s="11">
        <f>SUM(B41:M41)</f>
        <v>824301.12413999997</v>
      </c>
    </row>
    <row r="42" spans="1:14" ht="23.25" customHeight="1" thickBot="1" x14ac:dyDescent="0.3">
      <c r="A42" s="4" t="s">
        <v>5</v>
      </c>
      <c r="B42" s="17">
        <f t="shared" ref="B42:N42" si="21">B16-B41</f>
        <v>14093.116649999996</v>
      </c>
      <c r="C42" s="17">
        <f t="shared" si="21"/>
        <v>15392.788269999997</v>
      </c>
      <c r="D42" s="17">
        <f t="shared" si="21"/>
        <v>20156.748610000002</v>
      </c>
      <c r="E42" s="17">
        <f t="shared" si="21"/>
        <v>10114.594230000002</v>
      </c>
      <c r="F42" s="17">
        <f t="shared" si="21"/>
        <v>-9296.3754400000034</v>
      </c>
      <c r="G42" s="17">
        <f t="shared" si="21"/>
        <v>27677.040550000005</v>
      </c>
      <c r="H42" s="17">
        <f t="shared" si="21"/>
        <v>15132.147609999985</v>
      </c>
      <c r="I42" s="17">
        <f t="shared" si="21"/>
        <v>23529.201419999983</v>
      </c>
      <c r="J42" s="17">
        <f t="shared" si="21"/>
        <v>31208.585259999993</v>
      </c>
      <c r="K42" s="17">
        <f t="shared" si="21"/>
        <v>5779.833409999992</v>
      </c>
      <c r="L42" s="17">
        <f t="shared" si="21"/>
        <v>19362.59191999997</v>
      </c>
      <c r="M42" s="17">
        <f t="shared" si="21"/>
        <v>14416.403369999993</v>
      </c>
      <c r="N42" s="12">
        <f t="shared" si="21"/>
        <v>187566.67585999996</v>
      </c>
    </row>
    <row r="43" spans="1:14" ht="23.25" customHeight="1" thickBot="1" x14ac:dyDescent="0.3">
      <c r="A43" s="4" t="s">
        <v>7</v>
      </c>
      <c r="B43" s="14">
        <f>B5+B42</f>
        <v>-453080.81335000001</v>
      </c>
      <c r="C43" s="18">
        <f>B43+C42</f>
        <v>-437688.02507999999</v>
      </c>
      <c r="D43" s="18">
        <f>C43+D42</f>
        <v>-417531.27646999998</v>
      </c>
      <c r="E43" s="18">
        <f t="shared" ref="E43:G43" si="22">D43+E42</f>
        <v>-407416.68223999999</v>
      </c>
      <c r="F43" s="18">
        <f t="shared" si="22"/>
        <v>-416713.05767999997</v>
      </c>
      <c r="G43" s="18">
        <f t="shared" si="22"/>
        <v>-389036.01712999993</v>
      </c>
      <c r="H43" s="18">
        <f t="shared" ref="H43" si="23">G43+H42</f>
        <v>-373903.86951999995</v>
      </c>
      <c r="I43" s="18">
        <f t="shared" ref="I43" si="24">H43+I42</f>
        <v>-350374.66809999995</v>
      </c>
      <c r="J43" s="18">
        <f t="shared" ref="J43" si="25">I43+J42</f>
        <v>-319166.08283999993</v>
      </c>
      <c r="K43" s="18">
        <f t="shared" ref="K43" si="26">J43+K42</f>
        <v>-313386.24942999997</v>
      </c>
      <c r="L43" s="18">
        <f t="shared" ref="L43" si="27">K43+L42</f>
        <v>-294023.65750999999</v>
      </c>
      <c r="M43" s="18">
        <f t="shared" ref="M43" si="28">L43+M42</f>
        <v>-279607.25413999998</v>
      </c>
      <c r="N43" s="18">
        <f>N5-N41+N16</f>
        <v>-279607.25413999998</v>
      </c>
    </row>
    <row r="44" spans="1:14" ht="27" customHeight="1" thickBot="1" x14ac:dyDescent="0.3">
      <c r="A44" s="10" t="s">
        <v>11</v>
      </c>
      <c r="B44" s="19">
        <f t="shared" ref="B44:N44" si="29">B6+B16-B7</f>
        <v>-157338.04999999999</v>
      </c>
      <c r="C44" s="19">
        <f t="shared" si="29"/>
        <v>-164710.79999999999</v>
      </c>
      <c r="D44" s="19">
        <f t="shared" si="29"/>
        <v>-176811.71999999997</v>
      </c>
      <c r="E44" s="19">
        <f t="shared" si="29"/>
        <v>-175856.99</v>
      </c>
      <c r="F44" s="19">
        <f t="shared" si="29"/>
        <v>-193647.72</v>
      </c>
      <c r="G44" s="19">
        <f t="shared" si="29"/>
        <v>-180179.52000000002</v>
      </c>
      <c r="H44" s="19">
        <f t="shared" si="29"/>
        <v>-186024.52000000002</v>
      </c>
      <c r="I44" s="19">
        <f t="shared" si="29"/>
        <v>-180318.31000000006</v>
      </c>
      <c r="J44" s="19">
        <f t="shared" si="29"/>
        <v>-187346.77000000008</v>
      </c>
      <c r="K44" s="19">
        <f t="shared" si="29"/>
        <v>-182580.7300000001</v>
      </c>
      <c r="L44" s="19">
        <f t="shared" si="29"/>
        <v>-184013.92000000013</v>
      </c>
      <c r="M44" s="19">
        <f t="shared" si="29"/>
        <v>-190249.93000000014</v>
      </c>
      <c r="N44" s="19">
        <f t="shared" si="29"/>
        <v>-190249.93000000017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2025-03-18T04:13:45Z</cp:lastPrinted>
  <dcterms:created xsi:type="dcterms:W3CDTF">2011-06-06T03:25:48Z</dcterms:created>
  <dcterms:modified xsi:type="dcterms:W3CDTF">2025-03-18T04:15:48Z</dcterms:modified>
</cp:coreProperties>
</file>