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23" i="1" l="1"/>
  <c r="M22" i="1"/>
  <c r="M21" i="1"/>
  <c r="M10" i="1"/>
  <c r="M11" i="1"/>
  <c r="L23" i="1"/>
  <c r="L21" i="1"/>
  <c r="L13" i="1"/>
  <c r="L12" i="1"/>
  <c r="L11" i="1"/>
  <c r="K23" i="1"/>
  <c r="K21" i="1"/>
  <c r="K13" i="1"/>
  <c r="K11" i="1"/>
  <c r="M42" i="1" l="1"/>
  <c r="L42" i="1" l="1"/>
  <c r="K42" i="1" l="1"/>
  <c r="M39" i="1" l="1"/>
  <c r="L39" i="1"/>
  <c r="K39" i="1"/>
  <c r="M36" i="1" l="1"/>
  <c r="M33" i="1"/>
  <c r="L33" i="1"/>
  <c r="K33" i="1"/>
  <c r="M31" i="1" l="1"/>
  <c r="M18" i="1"/>
  <c r="M30" i="1"/>
  <c r="M8" i="1"/>
  <c r="L31" i="1" l="1"/>
  <c r="L18" i="1"/>
  <c r="L30" i="1"/>
  <c r="L8" i="1"/>
  <c r="K31" i="1" l="1"/>
  <c r="K18" i="1"/>
  <c r="K30" i="1"/>
  <c r="K8" i="1"/>
  <c r="K37" i="1" l="1"/>
  <c r="L37" i="1"/>
  <c r="M37" i="1"/>
  <c r="K32" i="1"/>
  <c r="L32" i="1"/>
  <c r="M32" i="1"/>
  <c r="K29" i="1"/>
  <c r="L29" i="1"/>
  <c r="M29" i="1"/>
  <c r="K28" i="1"/>
  <c r="L28" i="1"/>
  <c r="M28" i="1"/>
  <c r="J23" i="1" l="1"/>
  <c r="J22" i="1"/>
  <c r="J21" i="1"/>
  <c r="J13" i="1"/>
  <c r="J11" i="1"/>
  <c r="I23" i="1"/>
  <c r="I21" i="1"/>
  <c r="I13" i="1"/>
  <c r="I12" i="1"/>
  <c r="I11" i="1"/>
  <c r="H23" i="1"/>
  <c r="H21" i="1"/>
  <c r="H22" i="1"/>
  <c r="H13" i="1"/>
  <c r="H11" i="1"/>
  <c r="J42" i="1" l="1"/>
  <c r="I42" i="1" l="1"/>
  <c r="J39" i="1" l="1"/>
  <c r="I39" i="1"/>
  <c r="H39" i="1"/>
  <c r="J31" i="1" l="1"/>
  <c r="J18" i="1"/>
  <c r="J30" i="1"/>
  <c r="J8" i="1"/>
  <c r="H42" i="1" l="1"/>
  <c r="I31" i="1" l="1"/>
  <c r="I18" i="1"/>
  <c r="I30" i="1"/>
  <c r="I8" i="1"/>
  <c r="H31" i="1" l="1"/>
  <c r="H18" i="1"/>
  <c r="H30" i="1"/>
  <c r="H8" i="1"/>
  <c r="H37" i="1"/>
  <c r="I37" i="1"/>
  <c r="J37" i="1"/>
  <c r="H32" i="1" l="1"/>
  <c r="I32" i="1"/>
  <c r="J32" i="1"/>
  <c r="H29" i="1"/>
  <c r="I29" i="1"/>
  <c r="J29" i="1"/>
  <c r="H28" i="1"/>
  <c r="I28" i="1"/>
  <c r="J28" i="1"/>
  <c r="G23" i="1" l="1"/>
  <c r="G22" i="1"/>
  <c r="G21" i="1"/>
  <c r="G13" i="1"/>
  <c r="G12" i="1"/>
  <c r="G11" i="1"/>
  <c r="F23" i="1"/>
  <c r="F21" i="1"/>
  <c r="F13" i="1"/>
  <c r="F12" i="1"/>
  <c r="F11" i="1"/>
  <c r="E21" i="1"/>
  <c r="E23" i="1"/>
  <c r="E11" i="1"/>
  <c r="E13" i="1"/>
  <c r="G39" i="1" l="1"/>
  <c r="F39" i="1"/>
  <c r="E39" i="1"/>
  <c r="F42" i="1" l="1"/>
  <c r="G31" i="1" l="1"/>
  <c r="G18" i="1"/>
  <c r="G30" i="1"/>
  <c r="G8" i="1"/>
  <c r="F31" i="1" l="1"/>
  <c r="F18" i="1"/>
  <c r="F30" i="1"/>
  <c r="F8" i="1"/>
  <c r="E31" i="1" l="1"/>
  <c r="E18" i="1"/>
  <c r="E30" i="1"/>
  <c r="E8" i="1"/>
  <c r="E42" i="1" l="1"/>
  <c r="E37" i="1" l="1"/>
  <c r="F37" i="1"/>
  <c r="G37" i="1" l="1"/>
  <c r="E32" i="1"/>
  <c r="F32" i="1"/>
  <c r="G32" i="1"/>
  <c r="E29" i="1"/>
  <c r="F29" i="1"/>
  <c r="G29" i="1"/>
  <c r="E28" i="1"/>
  <c r="F28" i="1"/>
  <c r="G28" i="1"/>
  <c r="D39" i="1" l="1"/>
  <c r="C39" i="1"/>
  <c r="D42" i="1" l="1"/>
  <c r="D21" i="1" l="1"/>
  <c r="D22" i="1"/>
  <c r="D23" i="1"/>
  <c r="D11" i="1"/>
  <c r="D13" i="1"/>
  <c r="C21" i="1"/>
  <c r="C23" i="1"/>
  <c r="C12" i="1"/>
  <c r="C11" i="1"/>
  <c r="C13" i="1"/>
  <c r="B22" i="1"/>
  <c r="B21" i="1"/>
  <c r="B23" i="1"/>
  <c r="B11" i="1"/>
  <c r="B13" i="1"/>
  <c r="C42" i="1" l="1"/>
  <c r="N39" i="1" l="1"/>
  <c r="D31" i="1" l="1"/>
  <c r="D18" i="1"/>
  <c r="D30" i="1"/>
  <c r="D8" i="1"/>
  <c r="C31" i="1" l="1"/>
  <c r="C18" i="1"/>
  <c r="C30" i="1"/>
  <c r="C8" i="1"/>
  <c r="B31" i="1" l="1"/>
  <c r="B18" i="1"/>
  <c r="B30" i="1"/>
  <c r="B8" i="1"/>
  <c r="C37" i="1"/>
  <c r="D37" i="1"/>
  <c r="C32" i="1"/>
  <c r="D32" i="1"/>
  <c r="C29" i="1"/>
  <c r="D29" i="1"/>
  <c r="C28" i="1"/>
  <c r="D28" i="1"/>
  <c r="B37" i="1" l="1"/>
  <c r="B32" i="1"/>
  <c r="B29" i="1"/>
  <c r="B28" i="1"/>
  <c r="N24" i="1" l="1"/>
  <c r="N14" i="1" l="1"/>
  <c r="N19" i="1" l="1"/>
  <c r="N9" i="1"/>
  <c r="N8" i="1" l="1"/>
  <c r="N10" i="1"/>
  <c r="N11" i="1"/>
  <c r="N12" i="1"/>
  <c r="N13" i="1"/>
  <c r="N15" i="1"/>
  <c r="N16" i="1"/>
  <c r="N32" i="1" l="1"/>
  <c r="N25" i="1"/>
  <c r="N18" i="1" l="1"/>
  <c r="N6" i="1" l="1"/>
  <c r="N5" i="1"/>
  <c r="N26" i="1" l="1"/>
  <c r="N28" i="1"/>
  <c r="N29" i="1"/>
  <c r="N33" i="1"/>
  <c r="N34" i="1"/>
  <c r="N35" i="1"/>
  <c r="N36" i="1"/>
  <c r="N37" i="1"/>
  <c r="N38" i="1"/>
  <c r="N40" i="1"/>
  <c r="N41" i="1"/>
  <c r="N42" i="1"/>
  <c r="N20" i="1"/>
  <c r="N21" i="1"/>
  <c r="N22" i="1"/>
  <c r="N23" i="1"/>
  <c r="K17" i="1"/>
  <c r="L17" i="1"/>
  <c r="M17" i="1"/>
  <c r="K7" i="1"/>
  <c r="L7" i="1"/>
  <c r="M7" i="1"/>
  <c r="M43" i="1" l="1"/>
  <c r="M44" i="1" s="1"/>
  <c r="L43" i="1"/>
  <c r="L44" i="1" s="1"/>
  <c r="N31" i="1"/>
  <c r="K43" i="1" l="1"/>
  <c r="K44" i="1" l="1"/>
  <c r="H17" i="1" l="1"/>
  <c r="I17" i="1"/>
  <c r="J17" i="1"/>
  <c r="H7" i="1"/>
  <c r="J7" i="1"/>
  <c r="J43" i="1" l="1"/>
  <c r="J44" i="1" s="1"/>
  <c r="I43" i="1"/>
  <c r="I44" i="1" s="1"/>
  <c r="I7" i="1"/>
  <c r="C17" i="1"/>
  <c r="D17" i="1"/>
  <c r="D43" i="1" s="1"/>
  <c r="D44" i="1" s="1"/>
  <c r="E17" i="1"/>
  <c r="F17" i="1"/>
  <c r="G17" i="1"/>
  <c r="B17" i="1"/>
  <c r="F43" i="1" l="1"/>
  <c r="F44" i="1" s="1"/>
  <c r="E43" i="1"/>
  <c r="G43" i="1"/>
  <c r="G44" i="1" s="1"/>
  <c r="N17" i="1"/>
  <c r="H43" i="1"/>
  <c r="H44" i="1" l="1"/>
  <c r="F7" i="1"/>
  <c r="G7" i="1"/>
  <c r="D7" i="1"/>
  <c r="C43" i="1"/>
  <c r="C7" i="1"/>
  <c r="B7" i="1"/>
  <c r="E7" i="1" l="1"/>
  <c r="N7" i="1" s="1"/>
  <c r="N46" i="1" s="1"/>
  <c r="C44" i="1"/>
  <c r="B43" i="1" l="1"/>
  <c r="N30" i="1"/>
  <c r="B46" i="1"/>
  <c r="C6" i="1" s="1"/>
  <c r="C46" i="1" l="1"/>
  <c r="D6" i="1" s="1"/>
  <c r="E44" i="1"/>
  <c r="N43" i="1" s="1"/>
  <c r="B44" i="1"/>
  <c r="D46" i="1" l="1"/>
  <c r="E6" i="1" s="1"/>
  <c r="E46" i="1" s="1"/>
  <c r="F6" i="1" s="1"/>
  <c r="N44" i="1"/>
  <c r="N45" i="1" s="1"/>
  <c r="B45" i="1"/>
  <c r="F46" i="1" l="1"/>
  <c r="G6" i="1" s="1"/>
  <c r="G46" i="1" s="1"/>
  <c r="H6" i="1" s="1"/>
  <c r="C5" i="1"/>
  <c r="C45" i="1" s="1"/>
  <c r="H46" i="1" l="1"/>
  <c r="I6" i="1" s="1"/>
  <c r="D5" i="1"/>
  <c r="D45" i="1" s="1"/>
  <c r="I46" i="1" l="1"/>
  <c r="J6" i="1" s="1"/>
  <c r="E5" i="1"/>
  <c r="E45" i="1" s="1"/>
  <c r="J46" i="1" l="1"/>
  <c r="K6" i="1" s="1"/>
  <c r="F5" i="1"/>
  <c r="F45" i="1" s="1"/>
  <c r="K46" i="1" l="1"/>
  <c r="L6" i="1" s="1"/>
  <c r="G5" i="1"/>
  <c r="G45" i="1" s="1"/>
  <c r="L46" i="1" l="1"/>
  <c r="M6" i="1" s="1"/>
  <c r="M46" i="1" s="1"/>
  <c r="H5" i="1"/>
  <c r="H45" i="1" s="1"/>
  <c r="I5" i="1" l="1"/>
  <c r="I45" i="1" s="1"/>
  <c r="J5" i="1" l="1"/>
  <c r="J45" i="1" s="1"/>
  <c r="K5" i="1" l="1"/>
  <c r="K45" i="1" s="1"/>
  <c r="L5" i="1" l="1"/>
  <c r="L45" i="1" s="1"/>
  <c r="M5" i="1" l="1"/>
  <c r="M45" i="1" s="1"/>
</calcChain>
</file>

<file path=xl/sharedStrings.xml><?xml version="1.0" encoding="utf-8"?>
<sst xmlns="http://schemas.openxmlformats.org/spreadsheetml/2006/main" count="59" uniqueCount="48">
  <si>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</si>
  <si>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</si>
  <si>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</si>
  <si>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</si>
  <si>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</si>
  <si>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</si>
  <si>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</si>
  <si>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</si>
  <si>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</si>
  <si>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</si>
  <si>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</si>
  <si>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</si>
  <si>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</si>
  <si>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</si>
  <si>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</si>
  <si>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</si>
  <si>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</si>
  <si>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</si>
  <si>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</si>
  <si>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</si>
  <si>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</si>
  <si>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</si>
  <si>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</si>
  <si>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</si>
  <si>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</si>
  <si>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</si>
  <si>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на ОИ</t>
  </si>
  <si>
    <t xml:space="preserve">Содержание жилья и текущий ремонт / нежилые </t>
  </si>
  <si>
    <t>Диагностика газового оборудования</t>
  </si>
  <si>
    <t>Корректировка задолженности по оплате по решению Арбитражного суда за предыдущие периоды</t>
  </si>
  <si>
    <t xml:space="preserve">Содержание жилья и текущий ремонт,  ОПУ </t>
  </si>
  <si>
    <t>Содержание жилья и текущий ремонт,  ОПУ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</si>
  <si>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</si>
  <si>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</si>
  <si>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</si>
  <si>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</si>
  <si>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</si>
  <si>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</si>
  <si>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</si>
  <si>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</si>
  <si>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</si>
  <si>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</si>
  <si>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</si>
  <si>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</si>
  <si>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2024г.</t>
  </si>
  <si>
    <t>Вознаграждение совета МКД</t>
  </si>
  <si>
    <t>Налоги с вознаграждения совета МКД</t>
  </si>
  <si>
    <t xml:space="preserve">         ОТЧЕТ по дому Васильева, 41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</si>
</sst>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7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164" fontId="6" fillId="2" borderId="4" xfId="0" applyNumberFormat="1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vertical="top" wrapText="1"/>
    </xf>
    <xf numFmtId="164" fontId="6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6" fillId="4" borderId="3" xfId="0" applyFont="1" applyFill="1" applyBorder="1" applyAlignment="1">
      <alignment vertical="top" wrapText="1"/>
    </xf>
    <xf numFmtId="164" fontId="6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164" fontId="6" fillId="0" borderId="5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4" fontId="6" fillId="0" borderId="9" xfId="0" applyNumberFormat="1" applyFont="1" applyBorder="1" applyAlignment="1">
      <alignment horizontal="left"/>
    </xf>
    <xf numFmtId="4" fontId="6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tabSelected="1" topLeftCell="A29" zoomScale="75" workbookViewId="0">
      <selection activeCell="A29" sqref="A1:I1048576"/>
    </sheetView>
  </sheetViews>
  <sheetFormatPr defaultRowHeight="13.2" x14ac:dyDescent="0.25"/>
  <cols>
    <col min="1" max="1" width="58.6640625" customWidth="1"/>
    <col min="2" max="2" width="14.109375" customWidth="1"/>
    <col min="3" max="4" width="14.44140625" customWidth="1"/>
    <col min="5" max="5" width="15" customWidth="1"/>
    <col min="6" max="6" width="14.44140625" customWidth="1"/>
    <col min="7" max="7" width="13.5546875" customWidth="1"/>
    <col min="8" max="8" width="13.44140625" customWidth="1"/>
    <col min="9" max="9" width="14" customWidth="1"/>
    <col min="10" max="13" width="13.33203125" customWidth="1"/>
    <col min="14" max="14" width="18.88671875" customWidth="1"/>
  </cols>
  <sheetData>
    <row r="1" spans="1:14" ht="20.25" customHeight="1" x14ac:dyDescent="0.4">
      <c r="A1" s="23" t="s">
        <v>47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7.5" customHeight="1" thickBot="1" x14ac:dyDescent="0.3">
      <c r="A2" s="1"/>
    </row>
    <row r="3" spans="1:14" ht="3" hidden="1" customHeight="1" thickBot="1" x14ac:dyDescent="0.3">
      <c r="A3" s="1"/>
    </row>
    <row r="4" spans="1:14" ht="38.25" customHeight="1" thickBot="1" x14ac:dyDescent="0.3">
      <c r="A4" s="4" t="s">
        <v>0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  <c r="I4" s="5" t="s">
        <v>39</v>
      </c>
      <c r="J4" s="5" t="s">
        <v>40</v>
      </c>
      <c r="K4" s="5" t="s">
        <v>41</v>
      </c>
      <c r="L4" s="5" t="s">
        <v>42</v>
      </c>
      <c r="M4" s="5" t="s">
        <v>43</v>
      </c>
      <c r="N4" s="5" t="s">
        <v>44</v>
      </c>
    </row>
    <row r="5" spans="1:14" ht="23.25" customHeight="1" thickBot="1" x14ac:dyDescent="0.3">
      <c r="A5" s="6" t="s">
        <v>16</v>
      </c>
      <c r="B5" s="7">
        <v>-785586.5</v>
      </c>
      <c r="C5" s="7">
        <f t="shared" ref="C5:D6" si="0">B45</f>
        <v>-767137.31557999994</v>
      </c>
      <c r="D5" s="7">
        <f t="shared" si="0"/>
        <v>-759109.88952999993</v>
      </c>
      <c r="E5" s="7">
        <f t="shared" ref="E5:E6" si="1">D45</f>
        <v>-755021.68489999988</v>
      </c>
      <c r="F5" s="7">
        <f>E45</f>
        <v>-750701.71686999989</v>
      </c>
      <c r="G5" s="7">
        <f t="shared" ref="G5:G6" si="2">F45</f>
        <v>-769124.93559999985</v>
      </c>
      <c r="H5" s="7">
        <f t="shared" ref="H5:H6" si="3">G45</f>
        <v>-752447.3881499999</v>
      </c>
      <c r="I5" s="7">
        <f t="shared" ref="I5:I6" si="4">H45</f>
        <v>-739027.92466999986</v>
      </c>
      <c r="J5" s="7">
        <f t="shared" ref="J5:J6" si="5">I45</f>
        <v>-720279.41424999991</v>
      </c>
      <c r="K5" s="7">
        <f t="shared" ref="K5:K6" si="6">J45</f>
        <v>-772705.23206999991</v>
      </c>
      <c r="L5" s="7">
        <f t="shared" ref="L5:L6" si="7">K45</f>
        <v>-818984.47558999993</v>
      </c>
      <c r="M5" s="7">
        <f t="shared" ref="M5:M6" si="8">L45</f>
        <v>-816077.87210999988</v>
      </c>
      <c r="N5" s="7">
        <f>B5</f>
        <v>-785586.5</v>
      </c>
    </row>
    <row r="6" spans="1:14" ht="21" customHeight="1" thickBot="1" x14ac:dyDescent="0.3">
      <c r="A6" s="6" t="s">
        <v>13</v>
      </c>
      <c r="B6" s="7">
        <v>-403737.75</v>
      </c>
      <c r="C6" s="7">
        <f t="shared" si="0"/>
        <v>-405362.43999999994</v>
      </c>
      <c r="D6" s="7">
        <f t="shared" si="0"/>
        <v>-430439.93999999994</v>
      </c>
      <c r="E6" s="7">
        <f t="shared" si="1"/>
        <v>-436841.39999999997</v>
      </c>
      <c r="F6" s="7">
        <f>E46</f>
        <v>-444876.89</v>
      </c>
      <c r="G6" s="7">
        <f t="shared" si="2"/>
        <v>-452187.43</v>
      </c>
      <c r="H6" s="7">
        <f t="shared" si="3"/>
        <v>-468538.86</v>
      </c>
      <c r="I6" s="7">
        <f t="shared" si="4"/>
        <v>-473769.78</v>
      </c>
      <c r="J6" s="7">
        <f t="shared" si="5"/>
        <v>-482736.69</v>
      </c>
      <c r="K6" s="7">
        <f t="shared" si="6"/>
        <v>-494753.92000000004</v>
      </c>
      <c r="L6" s="7">
        <f t="shared" si="7"/>
        <v>-502150.20000000007</v>
      </c>
      <c r="M6" s="7">
        <f t="shared" si="8"/>
        <v>-516493.32000000007</v>
      </c>
      <c r="N6" s="7">
        <f>B6</f>
        <v>-403737.75</v>
      </c>
    </row>
    <row r="7" spans="1:14" ht="20.25" customHeight="1" thickBot="1" x14ac:dyDescent="0.3">
      <c r="A7" s="8" t="s">
        <v>12</v>
      </c>
      <c r="B7" s="9">
        <f t="shared" ref="B7:M7" si="9">SUM(B8:B16)</f>
        <v>83213.349999999991</v>
      </c>
      <c r="C7" s="9">
        <f t="shared" si="9"/>
        <v>91804.59</v>
      </c>
      <c r="D7" s="9">
        <f t="shared" si="9"/>
        <v>83211.08</v>
      </c>
      <c r="E7" s="9">
        <f t="shared" si="9"/>
        <v>83211.08</v>
      </c>
      <c r="F7" s="9">
        <f t="shared" si="9"/>
        <v>83787.42</v>
      </c>
      <c r="G7" s="9">
        <f t="shared" si="9"/>
        <v>91627.56</v>
      </c>
      <c r="H7" s="9">
        <f t="shared" si="9"/>
        <v>89044.65</v>
      </c>
      <c r="I7" s="9">
        <f t="shared" si="9"/>
        <v>89522.81</v>
      </c>
      <c r="J7" s="9">
        <f t="shared" si="9"/>
        <v>89044.65</v>
      </c>
      <c r="K7" s="9">
        <f t="shared" si="9"/>
        <v>89044.65</v>
      </c>
      <c r="L7" s="9">
        <f t="shared" si="9"/>
        <v>90891.46</v>
      </c>
      <c r="M7" s="9">
        <f t="shared" si="9"/>
        <v>92397.56</v>
      </c>
      <c r="N7" s="9">
        <f>SUM(B7:M7)</f>
        <v>1056800.8600000001</v>
      </c>
    </row>
    <row r="8" spans="1:14" ht="24.75" customHeight="1" thickBot="1" x14ac:dyDescent="0.3">
      <c r="A8" s="3" t="s">
        <v>30</v>
      </c>
      <c r="B8" s="10">
        <f>75573.07+1435.36</f>
        <v>77008.430000000008</v>
      </c>
      <c r="C8" s="10">
        <f>75573.07+1435.36</f>
        <v>77008.430000000008</v>
      </c>
      <c r="D8" s="10">
        <f>75573.07+1435.36</f>
        <v>77008.430000000008</v>
      </c>
      <c r="E8" s="10">
        <f>75573.07+1435.36</f>
        <v>77008.430000000008</v>
      </c>
      <c r="F8" s="10">
        <f>75573.07+1435.36</f>
        <v>77008.430000000008</v>
      </c>
      <c r="G8" s="10">
        <f t="shared" ref="G8:L8" si="10">78528.47+1435.36</f>
        <v>79963.83</v>
      </c>
      <c r="H8" s="10">
        <f t="shared" si="10"/>
        <v>79963.83</v>
      </c>
      <c r="I8" s="10">
        <f t="shared" si="10"/>
        <v>79963.83</v>
      </c>
      <c r="J8" s="10">
        <f t="shared" si="10"/>
        <v>79963.83</v>
      </c>
      <c r="K8" s="10">
        <f t="shared" si="10"/>
        <v>79963.83</v>
      </c>
      <c r="L8" s="10">
        <f t="shared" si="10"/>
        <v>79963.83</v>
      </c>
      <c r="M8" s="10">
        <f>78528.47+1435.36</f>
        <v>79963.83</v>
      </c>
      <c r="N8" s="10">
        <f>SUM(B8:M8)</f>
        <v>944788.95999999985</v>
      </c>
    </row>
    <row r="9" spans="1:14" ht="24.75" customHeight="1" thickBot="1" x14ac:dyDescent="0.3">
      <c r="A9" s="3" t="s">
        <v>27</v>
      </c>
      <c r="B9" s="10">
        <v>676.62</v>
      </c>
      <c r="C9" s="10">
        <v>676.62</v>
      </c>
      <c r="D9" s="10">
        <v>676.62</v>
      </c>
      <c r="E9" s="10">
        <v>676.62</v>
      </c>
      <c r="F9" s="10">
        <v>676.62</v>
      </c>
      <c r="G9" s="10">
        <v>703.08</v>
      </c>
      <c r="H9" s="10">
        <v>703.08</v>
      </c>
      <c r="I9" s="10">
        <v>703.08</v>
      </c>
      <c r="J9" s="10">
        <v>703.08</v>
      </c>
      <c r="K9" s="10">
        <v>703.08</v>
      </c>
      <c r="L9" s="10">
        <v>703.08</v>
      </c>
      <c r="M9" s="10">
        <v>703.08</v>
      </c>
      <c r="N9" s="10">
        <f>SUM(B9:M9)</f>
        <v>8304.66</v>
      </c>
    </row>
    <row r="10" spans="1:14" ht="24.75" customHeight="1" thickBot="1" x14ac:dyDescent="0.3">
      <c r="A10" s="3" t="s">
        <v>17</v>
      </c>
      <c r="B10" s="10">
        <v>2.2599999999999998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-1253.45</v>
      </c>
      <c r="M10" s="10">
        <f>5411.45+48.45</f>
        <v>5459.9</v>
      </c>
      <c r="N10" s="10">
        <f t="shared" ref="N10:N16" si="11">SUM(B10:M10)</f>
        <v>4208.7099999999991</v>
      </c>
    </row>
    <row r="11" spans="1:14" ht="24.75" customHeight="1" thickBot="1" x14ac:dyDescent="0.3">
      <c r="A11" s="3" t="s">
        <v>18</v>
      </c>
      <c r="B11" s="10">
        <f>231.72+2.07</f>
        <v>233.79</v>
      </c>
      <c r="C11" s="10">
        <f>231.72+2.07</f>
        <v>233.79</v>
      </c>
      <c r="D11" s="10">
        <f>231.71+2.07</f>
        <v>233.78</v>
      </c>
      <c r="E11" s="10">
        <f>231.71+2.07</f>
        <v>233.78</v>
      </c>
      <c r="F11" s="10">
        <f>231.71+2.07</f>
        <v>233.78</v>
      </c>
      <c r="G11" s="10">
        <f>231.71+2.07</f>
        <v>233.78</v>
      </c>
      <c r="H11" s="10">
        <f>256.04+2.3</f>
        <v>258.34000000000003</v>
      </c>
      <c r="I11" s="10">
        <f>256.04+2.3</f>
        <v>258.34000000000003</v>
      </c>
      <c r="J11" s="10">
        <f>256.04+2.3</f>
        <v>258.34000000000003</v>
      </c>
      <c r="K11" s="10">
        <f>256.04+2.3</f>
        <v>258.34000000000003</v>
      </c>
      <c r="L11" s="10">
        <f>256.04+2.3</f>
        <v>258.34000000000003</v>
      </c>
      <c r="M11" s="10">
        <f>256.04+2.3</f>
        <v>258.34000000000003</v>
      </c>
      <c r="N11" s="10">
        <f t="shared" si="11"/>
        <v>2952.7400000000007</v>
      </c>
    </row>
    <row r="12" spans="1:14" ht="24.75" customHeight="1" thickBot="1" x14ac:dyDescent="0.3">
      <c r="A12" s="3" t="s">
        <v>19</v>
      </c>
      <c r="B12" s="10">
        <v>0</v>
      </c>
      <c r="C12" s="10">
        <f>8517.25+76.25</f>
        <v>8593.5</v>
      </c>
      <c r="D12" s="10">
        <v>0</v>
      </c>
      <c r="E12" s="10">
        <v>0</v>
      </c>
      <c r="F12" s="10">
        <f>571.22+5.12</f>
        <v>576.34</v>
      </c>
      <c r="G12" s="10">
        <f>2653.75+23.76</f>
        <v>2677.51</v>
      </c>
      <c r="H12" s="10">
        <v>0</v>
      </c>
      <c r="I12" s="10">
        <f>473.92+4.24</f>
        <v>478.16</v>
      </c>
      <c r="J12" s="10">
        <v>0</v>
      </c>
      <c r="K12" s="10">
        <v>0</v>
      </c>
      <c r="L12" s="10">
        <f>3328.47+29.8</f>
        <v>3358.27</v>
      </c>
      <c r="M12" s="10">
        <v>0</v>
      </c>
      <c r="N12" s="10">
        <f t="shared" si="11"/>
        <v>15683.78</v>
      </c>
    </row>
    <row r="13" spans="1:14" ht="24.75" customHeight="1" thickBot="1" x14ac:dyDescent="0.3">
      <c r="A13" s="3" t="s">
        <v>26</v>
      </c>
      <c r="B13" s="10">
        <f t="shared" ref="B13:G13" si="12">447.05+4</f>
        <v>451.05</v>
      </c>
      <c r="C13" s="10">
        <f t="shared" si="12"/>
        <v>451.05</v>
      </c>
      <c r="D13" s="10">
        <f t="shared" si="12"/>
        <v>451.05</v>
      </c>
      <c r="E13" s="10">
        <f t="shared" si="12"/>
        <v>451.05</v>
      </c>
      <c r="F13" s="10">
        <f t="shared" si="12"/>
        <v>451.05</v>
      </c>
      <c r="G13" s="10">
        <f t="shared" si="12"/>
        <v>451.05</v>
      </c>
      <c r="H13" s="10">
        <f>516.46+4.63</f>
        <v>521.09</v>
      </c>
      <c r="I13" s="10">
        <f>516.46+4.63</f>
        <v>521.09</v>
      </c>
      <c r="J13" s="10">
        <f>516.46+4.63</f>
        <v>521.09</v>
      </c>
      <c r="K13" s="10">
        <f>516.46+4.63</f>
        <v>521.09</v>
      </c>
      <c r="L13" s="10">
        <f>260.74+2.34</f>
        <v>263.08</v>
      </c>
      <c r="M13" s="10">
        <v>-1585.9</v>
      </c>
      <c r="N13" s="10">
        <f t="shared" si="11"/>
        <v>3467.8400000000006</v>
      </c>
    </row>
    <row r="14" spans="1:14" ht="24.75" customHeight="1" thickBot="1" x14ac:dyDescent="0.3">
      <c r="A14" s="3" t="s">
        <v>45</v>
      </c>
      <c r="B14" s="10">
        <v>4171.2</v>
      </c>
      <c r="C14" s="10">
        <v>4171.2</v>
      </c>
      <c r="D14" s="10">
        <v>4171.2</v>
      </c>
      <c r="E14" s="10">
        <v>4171.2</v>
      </c>
      <c r="F14" s="10">
        <v>4171.2</v>
      </c>
      <c r="G14" s="10">
        <v>6928.31</v>
      </c>
      <c r="H14" s="10">
        <v>6928.31</v>
      </c>
      <c r="I14" s="10">
        <v>6928.31</v>
      </c>
      <c r="J14" s="10">
        <v>6928.31</v>
      </c>
      <c r="K14" s="10">
        <v>6928.31</v>
      </c>
      <c r="L14" s="10">
        <v>6928.31</v>
      </c>
      <c r="M14" s="10">
        <v>6928.31</v>
      </c>
      <c r="N14" s="10">
        <f t="shared" si="11"/>
        <v>69354.17</v>
      </c>
    </row>
    <row r="15" spans="1:14" ht="24.75" hidden="1" customHeight="1" thickBot="1" x14ac:dyDescent="0.3">
      <c r="A15" s="19" t="s">
        <v>28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>
        <f t="shared" si="11"/>
        <v>0</v>
      </c>
    </row>
    <row r="16" spans="1:14" ht="24.75" customHeight="1" thickBot="1" x14ac:dyDescent="0.3">
      <c r="A16" s="3" t="s">
        <v>15</v>
      </c>
      <c r="B16" s="10">
        <v>670</v>
      </c>
      <c r="C16" s="10">
        <v>670</v>
      </c>
      <c r="D16" s="10">
        <v>670</v>
      </c>
      <c r="E16" s="10">
        <v>670</v>
      </c>
      <c r="F16" s="10">
        <v>670</v>
      </c>
      <c r="G16" s="10">
        <v>670</v>
      </c>
      <c r="H16" s="10">
        <v>670</v>
      </c>
      <c r="I16" s="10">
        <v>670</v>
      </c>
      <c r="J16" s="10">
        <v>670</v>
      </c>
      <c r="K16" s="10">
        <v>670</v>
      </c>
      <c r="L16" s="10">
        <v>670</v>
      </c>
      <c r="M16" s="10">
        <v>670</v>
      </c>
      <c r="N16" s="10">
        <f t="shared" si="11"/>
        <v>8040</v>
      </c>
    </row>
    <row r="17" spans="1:15" ht="20.25" customHeight="1" thickBot="1" x14ac:dyDescent="0.3">
      <c r="A17" s="11" t="s">
        <v>8</v>
      </c>
      <c r="B17" s="12">
        <f t="shared" ref="B17:M17" si="13">SUM(B18:B26)</f>
        <v>81588.66</v>
      </c>
      <c r="C17" s="12">
        <f t="shared" si="13"/>
        <v>66727.09</v>
      </c>
      <c r="D17" s="12">
        <f t="shared" si="13"/>
        <v>76809.62000000001</v>
      </c>
      <c r="E17" s="12">
        <f t="shared" si="13"/>
        <v>75175.589999999982</v>
      </c>
      <c r="F17" s="12">
        <f t="shared" si="13"/>
        <v>76476.88</v>
      </c>
      <c r="G17" s="12">
        <f t="shared" si="13"/>
        <v>75276.13</v>
      </c>
      <c r="H17" s="12">
        <f t="shared" si="13"/>
        <v>83813.73</v>
      </c>
      <c r="I17" s="12">
        <f t="shared" si="13"/>
        <v>80555.899999999994</v>
      </c>
      <c r="J17" s="12">
        <f t="shared" si="13"/>
        <v>77027.419999999984</v>
      </c>
      <c r="K17" s="12">
        <f t="shared" si="13"/>
        <v>81648.37</v>
      </c>
      <c r="L17" s="12">
        <f t="shared" si="13"/>
        <v>76548.340000000011</v>
      </c>
      <c r="M17" s="12">
        <f t="shared" si="13"/>
        <v>85358.28</v>
      </c>
      <c r="N17" s="12">
        <f>SUM(B17:M17)</f>
        <v>937006.01</v>
      </c>
    </row>
    <row r="18" spans="1:15" ht="24" customHeight="1" thickBot="1" x14ac:dyDescent="0.3">
      <c r="A18" s="3" t="s">
        <v>31</v>
      </c>
      <c r="B18" s="10">
        <f>65286.96+1225.26</f>
        <v>66512.22</v>
      </c>
      <c r="C18" s="10">
        <f>60406.51+1163.65</f>
        <v>61570.16</v>
      </c>
      <c r="D18" s="10">
        <f>63271.05+1368.45</f>
        <v>64639.5</v>
      </c>
      <c r="E18" s="10">
        <f>67743.49+1334.15</f>
        <v>69077.64</v>
      </c>
      <c r="F18" s="10">
        <f>69350+1255.8</f>
        <v>70605.8</v>
      </c>
      <c r="G18" s="10">
        <f>67365.94+1409.85</f>
        <v>68775.790000000008</v>
      </c>
      <c r="H18" s="10">
        <f>72113.91+1237.95</f>
        <v>73351.86</v>
      </c>
      <c r="I18" s="10">
        <f>69962.13-64.74+1388.03</f>
        <v>71285.42</v>
      </c>
      <c r="J18" s="10">
        <f>67847.86+1235.78</f>
        <v>69083.64</v>
      </c>
      <c r="K18" s="10">
        <f>71645.78+1286.43</f>
        <v>72932.209999999992</v>
      </c>
      <c r="L18" s="10">
        <f>67631.99+1239.16</f>
        <v>68871.150000000009</v>
      </c>
      <c r="M18" s="10">
        <f>71789.46+1280.37</f>
        <v>73069.83</v>
      </c>
      <c r="N18" s="10">
        <f>SUM(B18:M18)</f>
        <v>829775.22</v>
      </c>
    </row>
    <row r="19" spans="1:15" ht="24" customHeight="1" thickBot="1" x14ac:dyDescent="0.3">
      <c r="A19" s="3" t="s">
        <v>27</v>
      </c>
      <c r="B19" s="10">
        <v>676.62</v>
      </c>
      <c r="C19" s="10">
        <v>676.62</v>
      </c>
      <c r="D19" s="10">
        <v>676.62</v>
      </c>
      <c r="E19" s="10">
        <v>676.62</v>
      </c>
      <c r="F19" s="10">
        <v>676.62</v>
      </c>
      <c r="G19" s="10">
        <v>676.62</v>
      </c>
      <c r="H19" s="10">
        <v>703.08</v>
      </c>
      <c r="I19" s="10">
        <v>703.08</v>
      </c>
      <c r="J19" s="10">
        <v>703.08</v>
      </c>
      <c r="K19" s="10">
        <v>703.08</v>
      </c>
      <c r="L19" s="10">
        <v>703.08</v>
      </c>
      <c r="M19" s="10">
        <v>703.08</v>
      </c>
      <c r="N19" s="10">
        <f>SUM(B19:M19)</f>
        <v>8278.2000000000007</v>
      </c>
    </row>
    <row r="20" spans="1:15" ht="26.25" customHeight="1" thickBot="1" x14ac:dyDescent="0.3">
      <c r="A20" s="3" t="s">
        <v>17</v>
      </c>
      <c r="B20" s="10">
        <v>21.16</v>
      </c>
      <c r="C20" s="10">
        <v>1.71</v>
      </c>
      <c r="D20" s="10">
        <v>7.37</v>
      </c>
      <c r="E20" s="10">
        <v>0.01</v>
      </c>
      <c r="F20" s="10">
        <v>36.44</v>
      </c>
      <c r="G20" s="10">
        <v>0</v>
      </c>
      <c r="H20" s="10">
        <v>0.02</v>
      </c>
      <c r="I20" s="10">
        <v>22.14</v>
      </c>
      <c r="J20" s="10">
        <v>18.010000000000002</v>
      </c>
      <c r="K20" s="10">
        <v>17.46</v>
      </c>
      <c r="L20" s="10">
        <v>19.11</v>
      </c>
      <c r="M20" s="10">
        <v>17.399999999999999</v>
      </c>
      <c r="N20" s="10">
        <f t="shared" ref="N20:N25" si="14">SUM(B20:M20)</f>
        <v>160.83000000000001</v>
      </c>
    </row>
    <row r="21" spans="1:15" ht="26.25" customHeight="1" thickBot="1" x14ac:dyDescent="0.3">
      <c r="A21" s="3" t="s">
        <v>18</v>
      </c>
      <c r="B21" s="10">
        <f>196.91+2.07</f>
        <v>198.98</v>
      </c>
      <c r="C21" s="10">
        <f>185.13+2.07</f>
        <v>187.2</v>
      </c>
      <c r="D21" s="10">
        <f>194.99+2.07</f>
        <v>197.06</v>
      </c>
      <c r="E21" s="10">
        <f>207.77+2.07</f>
        <v>209.84</v>
      </c>
      <c r="F21" s="10">
        <f>211.17+2.07</f>
        <v>213.23999999999998</v>
      </c>
      <c r="G21" s="10">
        <f>206.52+2.07</f>
        <v>208.59</v>
      </c>
      <c r="H21" s="10">
        <f>213.73+2.07</f>
        <v>215.79999999999998</v>
      </c>
      <c r="I21" s="10">
        <f>230.71+2.3</f>
        <v>233.01000000000002</v>
      </c>
      <c r="J21" s="10">
        <f>227.1+2.3</f>
        <v>229.4</v>
      </c>
      <c r="K21" s="10">
        <f>238.52+2.3</f>
        <v>240.82000000000002</v>
      </c>
      <c r="L21" s="10">
        <f>226.16+2.3</f>
        <v>228.46</v>
      </c>
      <c r="M21" s="10">
        <f>239.24+2.3</f>
        <v>241.54000000000002</v>
      </c>
      <c r="N21" s="10">
        <f t="shared" si="14"/>
        <v>2603.94</v>
      </c>
    </row>
    <row r="22" spans="1:15" ht="26.25" customHeight="1" thickBot="1" x14ac:dyDescent="0.3">
      <c r="A22" s="3" t="s">
        <v>19</v>
      </c>
      <c r="B22" s="10">
        <f>8293.59+89.69</f>
        <v>8383.2800000000007</v>
      </c>
      <c r="C22" s="10">
        <v>303.81</v>
      </c>
      <c r="D22" s="10">
        <f>6595.85+76.25</f>
        <v>6672.1</v>
      </c>
      <c r="E22" s="10">
        <v>552.21</v>
      </c>
      <c r="F22" s="10">
        <v>591.9</v>
      </c>
      <c r="G22" s="10">
        <f>541.96+5.12</f>
        <v>547.08000000000004</v>
      </c>
      <c r="H22" s="10">
        <f>2363.47+5.12</f>
        <v>2368.5899999999997</v>
      </c>
      <c r="I22" s="10">
        <v>184.78</v>
      </c>
      <c r="J22" s="10">
        <f>451.71+4.24</f>
        <v>455.95</v>
      </c>
      <c r="K22" s="10">
        <v>135.51</v>
      </c>
      <c r="L22" s="10">
        <v>83.43</v>
      </c>
      <c r="M22" s="10">
        <f>2805.88+29.8</f>
        <v>2835.6800000000003</v>
      </c>
      <c r="N22" s="10">
        <f t="shared" si="14"/>
        <v>23114.320000000003</v>
      </c>
    </row>
    <row r="23" spans="1:15" ht="26.25" customHeight="1" thickBot="1" x14ac:dyDescent="0.3">
      <c r="A23" s="3" t="s">
        <v>26</v>
      </c>
      <c r="B23" s="10">
        <f>386.8+4</f>
        <v>390.8</v>
      </c>
      <c r="C23" s="10">
        <f>357.19+4</f>
        <v>361.19</v>
      </c>
      <c r="D23" s="10">
        <f>375.37+4</f>
        <v>379.37</v>
      </c>
      <c r="E23" s="10">
        <f>400.87+4</f>
        <v>404.87</v>
      </c>
      <c r="F23" s="10">
        <f>411.28+4</f>
        <v>415.28</v>
      </c>
      <c r="G23" s="10">
        <f>398.45+4</f>
        <v>402.45</v>
      </c>
      <c r="H23" s="10">
        <f>412.29+4</f>
        <v>416.29</v>
      </c>
      <c r="I23" s="10">
        <f>462.24+4.63</f>
        <v>466.87</v>
      </c>
      <c r="J23" s="10">
        <f>452.7+4.63</f>
        <v>457.33</v>
      </c>
      <c r="K23" s="10">
        <f>475.66+4.63</f>
        <v>480.29</v>
      </c>
      <c r="L23" s="10">
        <f>450.28+4.63</f>
        <v>454.90999999999997</v>
      </c>
      <c r="M23" s="10">
        <f>249.28+2.34</f>
        <v>251.62</v>
      </c>
      <c r="N23" s="10">
        <f t="shared" si="14"/>
        <v>4881.2699999999995</v>
      </c>
    </row>
    <row r="24" spans="1:15" ht="26.25" customHeight="1" thickBot="1" x14ac:dyDescent="0.3">
      <c r="A24" s="3" t="s">
        <v>45</v>
      </c>
      <c r="B24" s="10">
        <v>3405.6</v>
      </c>
      <c r="C24" s="10">
        <v>3226.4</v>
      </c>
      <c r="D24" s="10">
        <v>3837.6</v>
      </c>
      <c r="E24" s="10">
        <v>3854.4</v>
      </c>
      <c r="F24" s="10">
        <v>3537.6</v>
      </c>
      <c r="G24" s="10">
        <v>4265.6000000000004</v>
      </c>
      <c r="H24" s="10">
        <v>5958.09</v>
      </c>
      <c r="I24" s="10">
        <v>6210.6</v>
      </c>
      <c r="J24" s="10">
        <v>5680.01</v>
      </c>
      <c r="K24" s="10">
        <v>6139</v>
      </c>
      <c r="L24" s="10">
        <v>5788.2</v>
      </c>
      <c r="M24" s="10">
        <v>6639.13</v>
      </c>
      <c r="N24" s="10">
        <f t="shared" si="14"/>
        <v>58542.229999999996</v>
      </c>
    </row>
    <row r="25" spans="1:15" ht="26.25" hidden="1" customHeight="1" thickBot="1" x14ac:dyDescent="0.3">
      <c r="A25" s="19" t="s">
        <v>28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>
        <f t="shared" si="14"/>
        <v>0</v>
      </c>
    </row>
    <row r="26" spans="1:15" ht="26.25" customHeight="1" thickBot="1" x14ac:dyDescent="0.3">
      <c r="A26" s="3" t="s">
        <v>15</v>
      </c>
      <c r="B26" s="13">
        <v>2000</v>
      </c>
      <c r="C26" s="13">
        <v>400</v>
      </c>
      <c r="D26" s="13">
        <v>400</v>
      </c>
      <c r="E26" s="13">
        <v>400</v>
      </c>
      <c r="F26" s="13">
        <v>400</v>
      </c>
      <c r="G26" s="13">
        <v>400</v>
      </c>
      <c r="H26" s="13">
        <v>800</v>
      </c>
      <c r="I26" s="13">
        <v>1450</v>
      </c>
      <c r="J26" s="13">
        <v>400</v>
      </c>
      <c r="K26" s="10">
        <v>1000</v>
      </c>
      <c r="L26" s="10">
        <v>400</v>
      </c>
      <c r="M26" s="10">
        <v>1600</v>
      </c>
      <c r="N26" s="10">
        <f>SUM(B26:M26)</f>
        <v>9650</v>
      </c>
      <c r="O26" s="2"/>
    </row>
    <row r="27" spans="1:15" ht="21.75" customHeight="1" thickBot="1" x14ac:dyDescent="0.3">
      <c r="A27" s="14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6"/>
    </row>
    <row r="28" spans="1:15" ht="19.5" customHeight="1" thickBot="1" x14ac:dyDescent="0.3">
      <c r="A28" s="3" t="s">
        <v>1</v>
      </c>
      <c r="B28" s="10">
        <f t="shared" ref="B28:M28" si="15">3549.8*0.6</f>
        <v>2129.88</v>
      </c>
      <c r="C28" s="10">
        <f t="shared" si="15"/>
        <v>2129.88</v>
      </c>
      <c r="D28" s="10">
        <f t="shared" si="15"/>
        <v>2129.88</v>
      </c>
      <c r="E28" s="10">
        <f t="shared" si="15"/>
        <v>2129.88</v>
      </c>
      <c r="F28" s="10">
        <f t="shared" si="15"/>
        <v>2129.88</v>
      </c>
      <c r="G28" s="10">
        <f t="shared" si="15"/>
        <v>2129.88</v>
      </c>
      <c r="H28" s="10">
        <f t="shared" si="15"/>
        <v>2129.88</v>
      </c>
      <c r="I28" s="10">
        <f t="shared" si="15"/>
        <v>2129.88</v>
      </c>
      <c r="J28" s="10">
        <f t="shared" si="15"/>
        <v>2129.88</v>
      </c>
      <c r="K28" s="10">
        <f t="shared" si="15"/>
        <v>2129.88</v>
      </c>
      <c r="L28" s="10">
        <f t="shared" si="15"/>
        <v>2129.88</v>
      </c>
      <c r="M28" s="10">
        <f t="shared" si="15"/>
        <v>2129.88</v>
      </c>
      <c r="N28" s="10">
        <f t="shared" ref="N28:N42" si="16">SUM(B28:M28)</f>
        <v>25558.560000000009</v>
      </c>
    </row>
    <row r="29" spans="1:15" ht="22.5" customHeight="1" thickBot="1" x14ac:dyDescent="0.3">
      <c r="A29" s="3" t="s">
        <v>2</v>
      </c>
      <c r="B29" s="10">
        <f t="shared" ref="B29:M29" si="17">3549.8*0.17</f>
        <v>603.46600000000012</v>
      </c>
      <c r="C29" s="10">
        <f t="shared" si="17"/>
        <v>603.46600000000012</v>
      </c>
      <c r="D29" s="10">
        <f t="shared" si="17"/>
        <v>603.46600000000012</v>
      </c>
      <c r="E29" s="10">
        <f t="shared" si="17"/>
        <v>603.46600000000012</v>
      </c>
      <c r="F29" s="10">
        <f t="shared" si="17"/>
        <v>603.46600000000012</v>
      </c>
      <c r="G29" s="10">
        <f t="shared" si="17"/>
        <v>603.46600000000012</v>
      </c>
      <c r="H29" s="10">
        <f t="shared" si="17"/>
        <v>603.46600000000012</v>
      </c>
      <c r="I29" s="10">
        <f t="shared" si="17"/>
        <v>603.46600000000012</v>
      </c>
      <c r="J29" s="10">
        <f t="shared" si="17"/>
        <v>603.46600000000012</v>
      </c>
      <c r="K29" s="10">
        <f t="shared" si="17"/>
        <v>603.46600000000012</v>
      </c>
      <c r="L29" s="10">
        <f t="shared" si="17"/>
        <v>603.46600000000012</v>
      </c>
      <c r="M29" s="10">
        <f t="shared" si="17"/>
        <v>603.46600000000012</v>
      </c>
      <c r="N29" s="10">
        <f t="shared" si="16"/>
        <v>7241.5920000000033</v>
      </c>
    </row>
    <row r="30" spans="1:15" ht="21" customHeight="1" thickBot="1" x14ac:dyDescent="0.3">
      <c r="A30" s="3" t="s">
        <v>3</v>
      </c>
      <c r="B30" s="10">
        <f>81860.66*2.3%</f>
        <v>1882.7951800000001</v>
      </c>
      <c r="C30" s="10">
        <f>90375.65*2.3%</f>
        <v>2078.6399499999998</v>
      </c>
      <c r="D30" s="10">
        <f>81858.39*2.3%</f>
        <v>1882.74297</v>
      </c>
      <c r="E30" s="10">
        <f>81858.39*2.3%</f>
        <v>1882.74297</v>
      </c>
      <c r="F30" s="10">
        <f>82429.61*2.3%</f>
        <v>1895.88103</v>
      </c>
      <c r="G30" s="10">
        <f>90224.65*2.3%</f>
        <v>2075.1669499999998</v>
      </c>
      <c r="H30" s="10">
        <f>87664.64*2.3%</f>
        <v>2016.2867200000001</v>
      </c>
      <c r="I30" s="10">
        <f>88138.56*2.3%</f>
        <v>2027.18688</v>
      </c>
      <c r="J30" s="10">
        <f>87664.64*2.3%</f>
        <v>2016.2867200000001</v>
      </c>
      <c r="K30" s="10">
        <f>87664.64*2.3%</f>
        <v>2016.2867200000001</v>
      </c>
      <c r="L30" s="10">
        <f>89483.94*2.3%</f>
        <v>2058.1306199999999</v>
      </c>
      <c r="M30" s="10">
        <f>90973.73*2.3%</f>
        <v>2092.39579</v>
      </c>
      <c r="N30" s="10">
        <f t="shared" si="16"/>
        <v>23924.5425</v>
      </c>
    </row>
    <row r="31" spans="1:15" ht="23.25" customHeight="1" thickBot="1" x14ac:dyDescent="0.3">
      <c r="A31" s="3" t="s">
        <v>4</v>
      </c>
      <c r="B31" s="10">
        <f>78816.28*3%</f>
        <v>2364.4883999999997</v>
      </c>
      <c r="C31" s="10">
        <f>65644.4*3%</f>
        <v>1969.3319999999997</v>
      </c>
      <c r="D31" s="10">
        <f>75650.68*3%</f>
        <v>2269.5203999999999</v>
      </c>
      <c r="E31" s="10">
        <f>74092.9*3%</f>
        <v>2222.7869999999998</v>
      </c>
      <c r="F31" s="10">
        <f>75394.19*3%</f>
        <v>2261.8256999999999</v>
      </c>
      <c r="G31" s="10">
        <f>74188.32*3%</f>
        <v>2225.6496000000002</v>
      </c>
      <c r="H31" s="10">
        <f>82299.46*3%</f>
        <v>2468.9838</v>
      </c>
      <c r="I31" s="10">
        <f>78395.89*3%</f>
        <v>2351.8766999999998</v>
      </c>
      <c r="J31" s="10">
        <f>75913.17*3%</f>
        <v>2277.3950999999997</v>
      </c>
      <c r="K31" s="10">
        <f>79938.36*3%</f>
        <v>2398.1507999999999</v>
      </c>
      <c r="L31" s="10">
        <f>75438.33*3%</f>
        <v>2263.1498999999999</v>
      </c>
      <c r="M31" s="10">
        <f>83020.76*3%</f>
        <v>2490.6227999999996</v>
      </c>
      <c r="N31" s="10">
        <f t="shared" si="16"/>
        <v>27563.782199999998</v>
      </c>
    </row>
    <row r="32" spans="1:15" ht="23.25" customHeight="1" thickBot="1" x14ac:dyDescent="0.3">
      <c r="A32" s="3" t="s">
        <v>9</v>
      </c>
      <c r="B32" s="20">
        <f t="shared" ref="B32:M32" si="18">3549.8*9.7</f>
        <v>34433.06</v>
      </c>
      <c r="C32" s="20">
        <f t="shared" si="18"/>
        <v>34433.06</v>
      </c>
      <c r="D32" s="20">
        <f t="shared" si="18"/>
        <v>34433.06</v>
      </c>
      <c r="E32" s="20">
        <f t="shared" si="18"/>
        <v>34433.06</v>
      </c>
      <c r="F32" s="20">
        <f t="shared" si="18"/>
        <v>34433.06</v>
      </c>
      <c r="G32" s="20">
        <f t="shared" si="18"/>
        <v>34433.06</v>
      </c>
      <c r="H32" s="20">
        <f t="shared" si="18"/>
        <v>34433.06</v>
      </c>
      <c r="I32" s="20">
        <f t="shared" si="18"/>
        <v>34433.06</v>
      </c>
      <c r="J32" s="20">
        <f t="shared" si="18"/>
        <v>34433.06</v>
      </c>
      <c r="K32" s="20">
        <f t="shared" si="18"/>
        <v>34433.06</v>
      </c>
      <c r="L32" s="20">
        <f t="shared" si="18"/>
        <v>34433.06</v>
      </c>
      <c r="M32" s="20">
        <f t="shared" si="18"/>
        <v>34433.06</v>
      </c>
      <c r="N32" s="10">
        <f t="shared" si="16"/>
        <v>413196.72</v>
      </c>
    </row>
    <row r="33" spans="1:14" ht="26.25" customHeight="1" thickBot="1" x14ac:dyDescent="0.3">
      <c r="A33" s="3" t="s">
        <v>20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f>2889.04+339.85</f>
        <v>3228.89</v>
      </c>
      <c r="L33" s="10">
        <f>4885.28+574.64</f>
        <v>5459.92</v>
      </c>
      <c r="M33" s="10">
        <f>7602.25+894.27</f>
        <v>8496.52</v>
      </c>
      <c r="N33" s="10">
        <f t="shared" si="16"/>
        <v>17185.330000000002</v>
      </c>
    </row>
    <row r="34" spans="1:14" ht="26.25" customHeight="1" thickBot="1" x14ac:dyDescent="0.3">
      <c r="A34" s="3" t="s">
        <v>21</v>
      </c>
      <c r="B34" s="10">
        <v>350.74</v>
      </c>
      <c r="C34" s="10">
        <v>350.74</v>
      </c>
      <c r="D34" s="10">
        <v>350.74</v>
      </c>
      <c r="E34" s="10">
        <v>350.74</v>
      </c>
      <c r="F34" s="10">
        <v>350.74</v>
      </c>
      <c r="G34" s="10">
        <v>350.74</v>
      </c>
      <c r="H34" s="10">
        <v>387.65</v>
      </c>
      <c r="I34" s="10">
        <v>387.65</v>
      </c>
      <c r="J34" s="10">
        <v>387.65</v>
      </c>
      <c r="K34" s="10">
        <v>387.65</v>
      </c>
      <c r="L34" s="10">
        <v>387.65</v>
      </c>
      <c r="M34" s="10">
        <v>387.65</v>
      </c>
      <c r="N34" s="10">
        <f t="shared" si="16"/>
        <v>4430.34</v>
      </c>
    </row>
    <row r="35" spans="1:14" ht="26.25" customHeight="1" thickBot="1" x14ac:dyDescent="0.3">
      <c r="A35" s="3" t="s">
        <v>22</v>
      </c>
      <c r="B35" s="10">
        <v>8593.5</v>
      </c>
      <c r="C35" s="10">
        <v>0</v>
      </c>
      <c r="D35" s="10">
        <v>0</v>
      </c>
      <c r="E35" s="10">
        <v>576.29999999999995</v>
      </c>
      <c r="F35" s="10">
        <v>2677.5</v>
      </c>
      <c r="G35" s="10">
        <v>0</v>
      </c>
      <c r="H35" s="10">
        <v>478.16</v>
      </c>
      <c r="I35" s="10">
        <v>0</v>
      </c>
      <c r="J35" s="10">
        <v>0</v>
      </c>
      <c r="K35" s="10">
        <v>3358.24</v>
      </c>
      <c r="L35" s="10">
        <v>0</v>
      </c>
      <c r="M35" s="10">
        <v>0</v>
      </c>
      <c r="N35" s="10">
        <f t="shared" si="16"/>
        <v>15683.699999999999</v>
      </c>
    </row>
    <row r="36" spans="1:14" ht="26.25" customHeight="1" thickBot="1" x14ac:dyDescent="0.3">
      <c r="A36" s="3" t="s">
        <v>26</v>
      </c>
      <c r="B36" s="10">
        <v>451.19</v>
      </c>
      <c r="C36" s="10">
        <v>451.19</v>
      </c>
      <c r="D36" s="10">
        <v>451.19</v>
      </c>
      <c r="E36" s="10">
        <v>451.19</v>
      </c>
      <c r="F36" s="10">
        <v>451.19</v>
      </c>
      <c r="G36" s="10">
        <v>451.19</v>
      </c>
      <c r="H36" s="10">
        <v>260.75</v>
      </c>
      <c r="I36" s="10">
        <v>260.75</v>
      </c>
      <c r="J36" s="10">
        <v>260.75</v>
      </c>
      <c r="K36" s="10">
        <v>260.75</v>
      </c>
      <c r="L36" s="10">
        <v>260.75</v>
      </c>
      <c r="M36" s="10">
        <f>260.75+1185.65</f>
        <v>1446.4</v>
      </c>
      <c r="N36" s="10">
        <f t="shared" si="16"/>
        <v>5457.29</v>
      </c>
    </row>
    <row r="37" spans="1:14" ht="22.5" customHeight="1" thickBot="1" x14ac:dyDescent="0.3">
      <c r="A37" s="3" t="s">
        <v>6</v>
      </c>
      <c r="B37" s="20">
        <f t="shared" ref="B37:F37" si="19">3549.8*3.22</f>
        <v>11430.356000000002</v>
      </c>
      <c r="C37" s="20">
        <f t="shared" si="19"/>
        <v>11430.356000000002</v>
      </c>
      <c r="D37" s="20">
        <f t="shared" si="19"/>
        <v>11430.356000000002</v>
      </c>
      <c r="E37" s="20">
        <f t="shared" si="19"/>
        <v>11430.356000000002</v>
      </c>
      <c r="F37" s="20">
        <f t="shared" si="19"/>
        <v>11430.356000000002</v>
      </c>
      <c r="G37" s="20">
        <f t="shared" ref="G37:M37" si="20">3549.8*3.35</f>
        <v>11891.830000000002</v>
      </c>
      <c r="H37" s="20">
        <f t="shared" si="20"/>
        <v>11891.830000000002</v>
      </c>
      <c r="I37" s="20">
        <f t="shared" si="20"/>
        <v>11891.830000000002</v>
      </c>
      <c r="J37" s="20">
        <f t="shared" si="20"/>
        <v>11891.830000000002</v>
      </c>
      <c r="K37" s="20">
        <f t="shared" si="20"/>
        <v>11891.830000000002</v>
      </c>
      <c r="L37" s="20">
        <f t="shared" si="20"/>
        <v>11891.830000000002</v>
      </c>
      <c r="M37" s="20">
        <f t="shared" si="20"/>
        <v>11891.830000000002</v>
      </c>
      <c r="N37" s="10">
        <f t="shared" si="16"/>
        <v>140394.59000000003</v>
      </c>
    </row>
    <row r="38" spans="1:14" ht="21.75" customHeight="1" thickBot="1" x14ac:dyDescent="0.3">
      <c r="A38" s="3" t="s">
        <v>45</v>
      </c>
      <c r="B38" s="10">
        <v>0</v>
      </c>
      <c r="C38" s="10">
        <v>1940.92</v>
      </c>
      <c r="D38" s="10">
        <v>1839.48</v>
      </c>
      <c r="E38" s="10">
        <v>2187.3200000000002</v>
      </c>
      <c r="F38" s="10">
        <v>2197.08</v>
      </c>
      <c r="G38" s="10">
        <v>2016.32</v>
      </c>
      <c r="H38" s="10">
        <v>2430.92</v>
      </c>
      <c r="I38" s="10">
        <v>3396.66</v>
      </c>
      <c r="J38" s="10">
        <v>3540.42</v>
      </c>
      <c r="K38" s="10">
        <v>3237.01</v>
      </c>
      <c r="L38" s="10">
        <v>3499.3</v>
      </c>
      <c r="M38" s="10">
        <v>3299.74</v>
      </c>
      <c r="N38" s="10">
        <f t="shared" si="16"/>
        <v>29585.170000000006</v>
      </c>
    </row>
    <row r="39" spans="1:14" ht="21.75" customHeight="1" thickBot="1" x14ac:dyDescent="0.3">
      <c r="A39" s="3" t="s">
        <v>46</v>
      </c>
      <c r="B39" s="10">
        <v>0</v>
      </c>
      <c r="C39" s="10">
        <f>1021.68+443</f>
        <v>1464.6799999999998</v>
      </c>
      <c r="D39" s="10">
        <f>967.92+419</f>
        <v>1386.92</v>
      </c>
      <c r="E39" s="10">
        <f>499+1151.28</f>
        <v>1650.28</v>
      </c>
      <c r="F39" s="10">
        <f>501+1156.32</f>
        <v>1657.32</v>
      </c>
      <c r="G39" s="10">
        <f>460+1061.28</f>
        <v>1521.28</v>
      </c>
      <c r="H39" s="10">
        <f>555+1279.68</f>
        <v>1834.68</v>
      </c>
      <c r="I39" s="10">
        <f>774+1787.43</f>
        <v>2561.4300000000003</v>
      </c>
      <c r="J39" s="10">
        <f>807+1863.18</f>
        <v>2670.1800000000003</v>
      </c>
      <c r="K39" s="10">
        <f>739+1704</f>
        <v>2443</v>
      </c>
      <c r="L39" s="10">
        <f>798+1841.7</f>
        <v>2639.7</v>
      </c>
      <c r="M39" s="10">
        <f>752+1736.46</f>
        <v>2488.46</v>
      </c>
      <c r="N39" s="10">
        <f t="shared" si="16"/>
        <v>22317.93</v>
      </c>
    </row>
    <row r="40" spans="1:14" ht="24.75" customHeight="1" thickBot="1" x14ac:dyDescent="0.3">
      <c r="A40" s="3" t="s">
        <v>25</v>
      </c>
      <c r="B40" s="10">
        <v>900</v>
      </c>
      <c r="C40" s="10">
        <v>900</v>
      </c>
      <c r="D40" s="10">
        <v>900</v>
      </c>
      <c r="E40" s="10">
        <v>900</v>
      </c>
      <c r="F40" s="10">
        <v>900</v>
      </c>
      <c r="G40" s="10">
        <v>900</v>
      </c>
      <c r="H40" s="10">
        <v>900</v>
      </c>
      <c r="I40" s="10">
        <v>900</v>
      </c>
      <c r="J40" s="10">
        <v>900</v>
      </c>
      <c r="K40" s="10">
        <v>900</v>
      </c>
      <c r="L40" s="10">
        <v>900</v>
      </c>
      <c r="M40" s="10">
        <v>900</v>
      </c>
      <c r="N40" s="10">
        <f t="shared" si="16"/>
        <v>10800</v>
      </c>
    </row>
    <row r="41" spans="1:14" ht="24.75" customHeight="1" thickBot="1" x14ac:dyDescent="0.3">
      <c r="A41" s="3" t="s">
        <v>14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20514.8</v>
      </c>
      <c r="L41" s="10">
        <v>0</v>
      </c>
      <c r="M41" s="10">
        <v>0</v>
      </c>
      <c r="N41" s="10">
        <f t="shared" si="16"/>
        <v>20514.8</v>
      </c>
    </row>
    <row r="42" spans="1:14" ht="24" customHeight="1" thickBot="1" x14ac:dyDescent="0.3">
      <c r="A42" s="3" t="s">
        <v>10</v>
      </c>
      <c r="B42" s="10">
        <v>0</v>
      </c>
      <c r="C42" s="10">
        <f>947.4</f>
        <v>947.4</v>
      </c>
      <c r="D42" s="10">
        <f>15044.06</f>
        <v>15044.06</v>
      </c>
      <c r="E42" s="10">
        <f>8098.5+2597.1+1341.9</f>
        <v>12037.5</v>
      </c>
      <c r="F42" s="10">
        <f>6848.5+13481.6+629.1+9033.9+3918.7</f>
        <v>33911.799999999996</v>
      </c>
      <c r="G42" s="10">
        <v>0</v>
      </c>
      <c r="H42" s="10">
        <f>2590.7+7967.9</f>
        <v>10558.599999999999</v>
      </c>
      <c r="I42" s="10">
        <f>863.6</f>
        <v>863.6</v>
      </c>
      <c r="J42" s="10">
        <f>68342.32</f>
        <v>68342.320000000007</v>
      </c>
      <c r="K42" s="10">
        <f>7502.6+105+6753+25764</f>
        <v>40124.6</v>
      </c>
      <c r="L42" s="10">
        <f>850.9+6264</f>
        <v>7114.9</v>
      </c>
      <c r="M42" s="10">
        <f>905.6+8158.7+15000</f>
        <v>24064.3</v>
      </c>
      <c r="N42" s="10">
        <f t="shared" si="16"/>
        <v>213009.08</v>
      </c>
    </row>
    <row r="43" spans="1:14" ht="22.5" customHeight="1" thickBot="1" x14ac:dyDescent="0.3">
      <c r="A43" s="8" t="s">
        <v>23</v>
      </c>
      <c r="B43" s="9">
        <f t="shared" ref="B43:M43" si="21">SUM(B28:B42)</f>
        <v>63139.475579999998</v>
      </c>
      <c r="C43" s="9">
        <f t="shared" si="21"/>
        <v>58699.663949999995</v>
      </c>
      <c r="D43" s="9">
        <f t="shared" si="21"/>
        <v>72721.415370000002</v>
      </c>
      <c r="E43" s="9">
        <f t="shared" si="21"/>
        <v>70855.621970000007</v>
      </c>
      <c r="F43" s="9">
        <f t="shared" si="21"/>
        <v>94900.098729999998</v>
      </c>
      <c r="G43" s="9">
        <f t="shared" si="21"/>
        <v>58598.582549999999</v>
      </c>
      <c r="H43" s="9">
        <f t="shared" si="21"/>
        <v>70394.266520000005</v>
      </c>
      <c r="I43" s="9">
        <f t="shared" si="21"/>
        <v>61807.389580000003</v>
      </c>
      <c r="J43" s="9">
        <f t="shared" si="21"/>
        <v>129453.23782000001</v>
      </c>
      <c r="K43" s="9">
        <f t="shared" si="21"/>
        <v>127927.61351999998</v>
      </c>
      <c r="L43" s="9">
        <f t="shared" si="21"/>
        <v>73641.736519999991</v>
      </c>
      <c r="M43" s="9">
        <f t="shared" si="21"/>
        <v>94724.324590000018</v>
      </c>
      <c r="N43" s="9">
        <f>SUM(B43:M43)</f>
        <v>976863.42669999995</v>
      </c>
    </row>
    <row r="44" spans="1:14" ht="23.25" customHeight="1" thickBot="1" x14ac:dyDescent="0.3">
      <c r="A44" s="3" t="s">
        <v>5</v>
      </c>
      <c r="B44" s="17">
        <f t="shared" ref="B44:N44" si="22">B17-B43</f>
        <v>18449.184420000005</v>
      </c>
      <c r="C44" s="17">
        <f t="shared" si="22"/>
        <v>8027.4260500000019</v>
      </c>
      <c r="D44" s="17">
        <f t="shared" si="22"/>
        <v>4088.2046300000075</v>
      </c>
      <c r="E44" s="17">
        <f t="shared" si="22"/>
        <v>4319.9680299999745</v>
      </c>
      <c r="F44" s="17">
        <f t="shared" si="22"/>
        <v>-18423.218729999993</v>
      </c>
      <c r="G44" s="17">
        <f t="shared" si="22"/>
        <v>16677.547450000005</v>
      </c>
      <c r="H44" s="17">
        <f t="shared" si="22"/>
        <v>13419.463479999991</v>
      </c>
      <c r="I44" s="17">
        <f t="shared" si="22"/>
        <v>18748.510419999991</v>
      </c>
      <c r="J44" s="17">
        <f t="shared" si="22"/>
        <v>-52425.817820000026</v>
      </c>
      <c r="K44" s="17">
        <f t="shared" si="22"/>
        <v>-46279.243519999989</v>
      </c>
      <c r="L44" s="17">
        <f t="shared" si="22"/>
        <v>2906.6034800000198</v>
      </c>
      <c r="M44" s="17">
        <f t="shared" si="22"/>
        <v>-9366.0445900000195</v>
      </c>
      <c r="N44" s="10">
        <f t="shared" si="22"/>
        <v>-39857.416699999943</v>
      </c>
    </row>
    <row r="45" spans="1:14" ht="23.25" customHeight="1" thickBot="1" x14ac:dyDescent="0.3">
      <c r="A45" s="3" t="s">
        <v>7</v>
      </c>
      <c r="B45" s="13">
        <f t="shared" ref="B45:N45" si="23">B5+B44</f>
        <v>-767137.31557999994</v>
      </c>
      <c r="C45" s="13">
        <f t="shared" si="23"/>
        <v>-759109.88952999993</v>
      </c>
      <c r="D45" s="13">
        <f t="shared" si="23"/>
        <v>-755021.68489999988</v>
      </c>
      <c r="E45" s="13">
        <f t="shared" si="23"/>
        <v>-750701.71686999989</v>
      </c>
      <c r="F45" s="13">
        <f t="shared" si="23"/>
        <v>-769124.93559999985</v>
      </c>
      <c r="G45" s="13">
        <f t="shared" si="23"/>
        <v>-752447.3881499999</v>
      </c>
      <c r="H45" s="13">
        <f t="shared" si="23"/>
        <v>-739027.92466999986</v>
      </c>
      <c r="I45" s="13">
        <f t="shared" si="23"/>
        <v>-720279.41424999991</v>
      </c>
      <c r="J45" s="13">
        <f t="shared" si="23"/>
        <v>-772705.23206999991</v>
      </c>
      <c r="K45" s="13">
        <f t="shared" si="23"/>
        <v>-818984.47558999993</v>
      </c>
      <c r="L45" s="13">
        <f t="shared" si="23"/>
        <v>-816077.87210999988</v>
      </c>
      <c r="M45" s="13">
        <f t="shared" si="23"/>
        <v>-825443.91669999994</v>
      </c>
      <c r="N45" s="13">
        <f t="shared" si="23"/>
        <v>-825443.91669999994</v>
      </c>
    </row>
    <row r="46" spans="1:14" ht="24" customHeight="1" thickBot="1" x14ac:dyDescent="0.3">
      <c r="A46" s="14" t="s">
        <v>11</v>
      </c>
      <c r="B46" s="18">
        <f t="shared" ref="B46:N46" si="24">B6+B17-B7</f>
        <v>-405362.43999999994</v>
      </c>
      <c r="C46" s="18">
        <f t="shared" si="24"/>
        <v>-430439.93999999994</v>
      </c>
      <c r="D46" s="18">
        <f t="shared" si="24"/>
        <v>-436841.39999999997</v>
      </c>
      <c r="E46" s="18">
        <f t="shared" si="24"/>
        <v>-444876.89</v>
      </c>
      <c r="F46" s="18">
        <f t="shared" si="24"/>
        <v>-452187.43</v>
      </c>
      <c r="G46" s="18">
        <f t="shared" si="24"/>
        <v>-468538.86</v>
      </c>
      <c r="H46" s="18">
        <f t="shared" si="24"/>
        <v>-473769.78</v>
      </c>
      <c r="I46" s="18">
        <f t="shared" si="24"/>
        <v>-482736.69</v>
      </c>
      <c r="J46" s="18">
        <f t="shared" si="24"/>
        <v>-494753.92000000004</v>
      </c>
      <c r="K46" s="18">
        <f t="shared" si="24"/>
        <v>-502150.20000000007</v>
      </c>
      <c r="L46" s="18">
        <f t="shared" si="24"/>
        <v>-516493.32000000007</v>
      </c>
      <c r="M46" s="18">
        <f t="shared" si="24"/>
        <v>-523532.60000000003</v>
      </c>
      <c r="N46" s="18">
        <f t="shared" si="24"/>
        <v>-523532.60000000009</v>
      </c>
    </row>
    <row r="47" spans="1:14" ht="19.5" hidden="1" customHeight="1" thickBot="1" x14ac:dyDescent="0.35">
      <c r="A47" s="25" t="s">
        <v>29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7"/>
      <c r="N47" s="21"/>
    </row>
    <row r="48" spans="1:14" ht="21.75" hidden="1" customHeight="1" thickBot="1" x14ac:dyDescent="0.35">
      <c r="A48" s="25" t="s">
        <v>11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7"/>
      <c r="N48" s="22"/>
    </row>
  </sheetData>
  <mergeCells count="3">
    <mergeCell ref="A1:N1"/>
    <mergeCell ref="A47:M47"/>
    <mergeCell ref="A48:M48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2025-03-14T07:18:45Z</cp:lastPrinted>
  <dcterms:created xsi:type="dcterms:W3CDTF">2011-06-06T03:25:48Z</dcterms:created>
  <dcterms:modified xsi:type="dcterms:W3CDTF">2025-03-14T07:24:37Z</dcterms:modified>
</cp:coreProperties>
</file>