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17" i="1" l="1"/>
  <c r="L46" i="1" l="1"/>
  <c r="M41" i="1" l="1"/>
  <c r="M38" i="1" l="1"/>
  <c r="L38" i="1"/>
  <c r="K38" i="1"/>
  <c r="M31" i="1" l="1"/>
  <c r="L31" i="1"/>
  <c r="K31" i="1"/>
  <c r="M29" i="1" l="1"/>
  <c r="M28" i="1"/>
  <c r="M8" i="1"/>
  <c r="L28" i="1" l="1"/>
  <c r="L8" i="1"/>
  <c r="N45" i="1" l="1"/>
  <c r="L29" i="1" l="1"/>
  <c r="L17" i="1"/>
  <c r="K29" i="1" l="1"/>
  <c r="K17" i="1"/>
  <c r="K28" i="1"/>
  <c r="K8" i="1"/>
  <c r="N23" i="1" l="1"/>
  <c r="K35" i="1" l="1"/>
  <c r="L35" i="1"/>
  <c r="M35" i="1"/>
  <c r="K30" i="1"/>
  <c r="L30" i="1"/>
  <c r="M30" i="1"/>
  <c r="K27" i="1"/>
  <c r="L27" i="1"/>
  <c r="M27" i="1"/>
  <c r="K26" i="1"/>
  <c r="L26" i="1"/>
  <c r="M26" i="1"/>
  <c r="I22" i="1" l="1"/>
  <c r="I20" i="1"/>
  <c r="I19" i="1"/>
  <c r="I17" i="1"/>
  <c r="J41" i="1" l="1"/>
  <c r="H28" i="1" l="1"/>
  <c r="J31" i="1" l="1"/>
  <c r="N37" i="1" l="1"/>
  <c r="N38" i="1"/>
  <c r="J38" i="1"/>
  <c r="J29" i="1" l="1"/>
  <c r="J17" i="1"/>
  <c r="J28" i="1"/>
  <c r="J8" i="1"/>
  <c r="H41" i="1" l="1"/>
  <c r="I29" i="1" l="1"/>
  <c r="I28" i="1"/>
  <c r="I8" i="1"/>
  <c r="H29" i="1" l="1"/>
  <c r="H17" i="1"/>
  <c r="N14" i="1"/>
  <c r="H8" i="1"/>
  <c r="I35" i="1" l="1"/>
  <c r="J35" i="1"/>
  <c r="H35" i="1"/>
  <c r="H30" i="1" l="1"/>
  <c r="I30" i="1"/>
  <c r="J30" i="1"/>
  <c r="H27" i="1"/>
  <c r="I27" i="1"/>
  <c r="J27" i="1"/>
  <c r="H26" i="1"/>
  <c r="I26" i="1"/>
  <c r="J26" i="1"/>
  <c r="G19" i="1" l="1"/>
  <c r="G22" i="1"/>
  <c r="G20" i="1"/>
  <c r="G17" i="1"/>
  <c r="F19" i="1"/>
  <c r="F22" i="1"/>
  <c r="F20" i="1"/>
  <c r="F17" i="1"/>
  <c r="E19" i="1"/>
  <c r="E20" i="1"/>
  <c r="E17" i="1"/>
  <c r="E22" i="1"/>
  <c r="G31" i="1" l="1"/>
  <c r="F31" i="1"/>
  <c r="E31" i="1"/>
  <c r="G29" i="1" l="1"/>
  <c r="G28" i="1"/>
  <c r="G8" i="1"/>
  <c r="F41" i="1" l="1"/>
  <c r="F29" i="1" l="1"/>
  <c r="F28" i="1"/>
  <c r="F8" i="1"/>
  <c r="E29" i="1" l="1"/>
  <c r="E28" i="1"/>
  <c r="E8" i="1"/>
  <c r="E41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17" i="1" l="1"/>
  <c r="C17" i="1"/>
  <c r="B22" i="1"/>
  <c r="B21" i="1"/>
  <c r="B20" i="1"/>
  <c r="B19" i="1"/>
  <c r="B17" i="1"/>
  <c r="N40" i="1" l="1"/>
  <c r="N32" i="1"/>
  <c r="N33" i="1"/>
  <c r="N34" i="1"/>
  <c r="N36" i="1"/>
  <c r="N39" i="1"/>
  <c r="D41" i="1" l="1"/>
  <c r="D31" i="1" l="1"/>
  <c r="C31" i="1"/>
  <c r="B31" i="1"/>
  <c r="N31" i="1" s="1"/>
  <c r="C41" i="1" l="1"/>
  <c r="D29" i="1" l="1"/>
  <c r="D28" i="1"/>
  <c r="D8" i="1"/>
  <c r="B41" i="1" l="1"/>
  <c r="N41" i="1" s="1"/>
  <c r="C29" i="1" l="1"/>
  <c r="C28" i="1"/>
  <c r="C8" i="1"/>
  <c r="B29" i="1" l="1"/>
  <c r="N29" i="1" s="1"/>
  <c r="B28" i="1"/>
  <c r="N28" i="1" s="1"/>
  <c r="B8" i="1"/>
  <c r="C35" i="1"/>
  <c r="D35" i="1"/>
  <c r="C30" i="1"/>
  <c r="D30" i="1"/>
  <c r="C27" i="1"/>
  <c r="D27" i="1"/>
  <c r="C26" i="1"/>
  <c r="D26" i="1"/>
  <c r="D42" i="1" s="1"/>
  <c r="C42" i="1" l="1"/>
  <c r="B35" i="1"/>
  <c r="N35" i="1" s="1"/>
  <c r="B30" i="1"/>
  <c r="N30" i="1" s="1"/>
  <c r="B27" i="1"/>
  <c r="N27" i="1" s="1"/>
  <c r="B26" i="1"/>
  <c r="B42" i="1" l="1"/>
  <c r="N26" i="1"/>
  <c r="G16" i="1"/>
  <c r="N15" i="1" l="1"/>
  <c r="N8" i="1" l="1"/>
  <c r="H16" i="1"/>
  <c r="N18" i="1" l="1"/>
  <c r="N19" i="1"/>
  <c r="N20" i="1"/>
  <c r="N21" i="1"/>
  <c r="N22" i="1"/>
  <c r="N24" i="1"/>
  <c r="N17" i="1"/>
  <c r="I16" i="1"/>
  <c r="J16" i="1"/>
  <c r="G42" i="1" l="1"/>
  <c r="G43" i="1" s="1"/>
  <c r="N13" i="1"/>
  <c r="N6" i="1" l="1"/>
  <c r="N5" i="1"/>
  <c r="N9" i="1"/>
  <c r="L16" i="1" l="1"/>
  <c r="L7" i="1"/>
  <c r="K16" i="1"/>
  <c r="K7" i="1"/>
  <c r="M16" i="1"/>
  <c r="M46" i="1" s="1"/>
  <c r="M7" i="1"/>
  <c r="N10" i="1"/>
  <c r="N12" i="1"/>
  <c r="N11" i="1"/>
  <c r="M42" i="1" l="1"/>
  <c r="M43" i="1" s="1"/>
  <c r="L42" i="1"/>
  <c r="L43" i="1" s="1"/>
  <c r="K42" i="1"/>
  <c r="K43" i="1" l="1"/>
  <c r="I42" i="1"/>
  <c r="I43" i="1" s="1"/>
  <c r="J42" i="1"/>
  <c r="J43" i="1" s="1"/>
  <c r="H7" i="1"/>
  <c r="I7" i="1"/>
  <c r="J7" i="1"/>
  <c r="G7" i="1"/>
  <c r="F16" i="1"/>
  <c r="F7" i="1"/>
  <c r="E16" i="1"/>
  <c r="E7" i="1"/>
  <c r="F42" i="1" l="1"/>
  <c r="F43" i="1" s="1"/>
  <c r="E42" i="1"/>
  <c r="E43" i="1" s="1"/>
  <c r="D16" i="1"/>
  <c r="D7" i="1"/>
  <c r="C16" i="1"/>
  <c r="C7" i="1"/>
  <c r="B16" i="1"/>
  <c r="B7" i="1"/>
  <c r="N7" i="1" l="1"/>
  <c r="N16" i="1"/>
  <c r="N46" i="1" s="1"/>
  <c r="D43" i="1"/>
  <c r="C43" i="1"/>
  <c r="H42" i="1"/>
  <c r="H43" i="1" s="1"/>
  <c r="B46" i="1"/>
  <c r="C6" i="1" s="1"/>
  <c r="C46" i="1" s="1"/>
  <c r="N42" i="1" l="1"/>
  <c r="N43" i="1" s="1"/>
  <c r="N44" i="1" s="1"/>
  <c r="D6" i="1"/>
  <c r="D46" i="1" s="1"/>
  <c r="E6" i="1" l="1"/>
  <c r="E46" i="1" s="1"/>
  <c r="B43" i="1"/>
  <c r="B44" i="1" s="1"/>
  <c r="F6" i="1" l="1"/>
  <c r="C5" i="1"/>
  <c r="C44" i="1" l="1"/>
  <c r="D5" i="1" s="1"/>
  <c r="D44" i="1" s="1"/>
  <c r="E5" i="1" s="1"/>
  <c r="E44" i="1" s="1"/>
  <c r="F46" i="1"/>
  <c r="G6" i="1" s="1"/>
  <c r="G46" i="1" s="1"/>
  <c r="H6" i="1" s="1"/>
  <c r="H46" i="1" s="1"/>
  <c r="F5" i="1" l="1"/>
  <c r="I6" i="1"/>
  <c r="I46" i="1" s="1"/>
  <c r="F44" i="1" l="1"/>
  <c r="G5" i="1" s="1"/>
  <c r="G44" i="1" s="1"/>
  <c r="H5" i="1" s="1"/>
  <c r="H44" i="1" s="1"/>
  <c r="J6" i="1"/>
  <c r="J46" i="1" s="1"/>
  <c r="K6" i="1" l="1"/>
  <c r="K46" i="1" s="1"/>
  <c r="I5" i="1"/>
  <c r="I44" i="1" s="1"/>
  <c r="L6" i="1" l="1"/>
  <c r="J5" i="1"/>
  <c r="J44" i="1" s="1"/>
  <c r="M6" i="1" l="1"/>
  <c r="K5" i="1"/>
  <c r="K44" i="1" s="1"/>
  <c r="L5" i="1" l="1"/>
  <c r="L44" i="1" s="1"/>
  <c r="M5" i="1" l="1"/>
  <c r="M44" i="1" s="1"/>
</calcChain>
</file>

<file path=xl/sharedStrings.xml><?xml version="1.0" encoding="utf-8"?>
<sst xmlns="http://schemas.openxmlformats.org/spreadsheetml/2006/main" count="57" uniqueCount="47">
  <si>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</si>
  <si>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</si>
  <si>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</si>
  <si>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</si>
  <si>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</si>
  <si>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</si>
  <si>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</si>
  <si>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</si>
  <si>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</si>
  <si>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</si>
  <si>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</si>
  <si>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</si>
  <si>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</si>
  <si>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</si>
  <si>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</si>
  <si>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</si>
  <si>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</si>
  <si>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</si>
  <si>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</si>
  <si>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</si>
  <si>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</si>
  <si>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</si>
  <si>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</si>
  <si>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</si>
  <si>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</si>
  <si>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</si>
  <si>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тепловой энергии</t>
  </si>
  <si>
    <t>Содержание жилья и текущий ремонт,  ОПУ /нежилые</t>
  </si>
  <si>
    <t xml:space="preserve">Содержание жилья и текущий ремонт,  ОПУ </t>
  </si>
  <si>
    <t>Расходы на общедомовые нужды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</si>
  <si>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</si>
  <si>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</si>
  <si>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</si>
  <si>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</si>
  <si>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</si>
  <si>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</si>
  <si>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</si>
  <si>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</si>
  <si>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</si>
  <si>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2024г.</t>
  </si>
  <si>
    <t>Ноябрь 2024г.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</si>
  <si>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</si>
  <si>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</si>
  <si>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</si>
  <si>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</si>
  <si>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ОТЧЕТ по дому Васильева, 40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</si>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</sst>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topLeftCell="C7" zoomScale="75" workbookViewId="0">
      <selection activeCell="K11" sqref="K11"/>
    </sheetView>
  </sheetViews>
  <sheetFormatPr defaultRowHeight="13.2" x14ac:dyDescent="0.25"/>
  <cols>
    <col min="1" max="1" width="58" customWidth="1"/>
    <col min="2" max="2" width="15.109375" customWidth="1"/>
    <col min="3" max="3" width="15.21875" customWidth="1"/>
    <col min="4" max="4" width="16.109375" customWidth="1"/>
    <col min="5" max="5" width="14.33203125" customWidth="1"/>
    <col min="6" max="6" width="13.88671875" customWidth="1"/>
    <col min="7" max="7" width="13.44140625" customWidth="1"/>
    <col min="8" max="8" width="14.109375" customWidth="1"/>
    <col min="9" max="9" width="15.44140625" customWidth="1"/>
    <col min="10" max="10" width="14.21875" customWidth="1"/>
    <col min="11" max="12" width="15.44140625" customWidth="1"/>
    <col min="13" max="13" width="15.33203125" customWidth="1"/>
    <col min="14" max="14" width="15.5546875" customWidth="1"/>
    <col min="15" max="15" width="14.44140625" customWidth="1"/>
  </cols>
  <sheetData>
    <row r="1" spans="1:17" ht="20.25" customHeight="1" x14ac:dyDescent="0.4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</row>
    <row r="2" spans="1:17" ht="7.5" customHeight="1" thickBot="1" x14ac:dyDescent="0.3">
      <c r="A2" s="1"/>
    </row>
    <row r="3" spans="1:17" ht="3" hidden="1" customHeight="1" thickBot="1" x14ac:dyDescent="0.3">
      <c r="A3" s="1"/>
    </row>
    <row r="4" spans="1:17" ht="38.25" customHeight="1" thickBot="1" x14ac:dyDescent="0.3">
      <c r="A4" s="4" t="s">
        <v>0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39</v>
      </c>
      <c r="L4" s="5" t="s">
        <v>40</v>
      </c>
      <c r="M4" s="5" t="s">
        <v>41</v>
      </c>
      <c r="N4" s="5" t="s">
        <v>42</v>
      </c>
    </row>
    <row r="5" spans="1:17" ht="23.25" customHeight="1" thickBot="1" x14ac:dyDescent="0.3">
      <c r="A5" s="6" t="s">
        <v>16</v>
      </c>
      <c r="B5" s="7">
        <v>-945195.68</v>
      </c>
      <c r="C5" s="7">
        <f t="shared" ref="C5:D5" si="0">B44</f>
        <v>-841925.4439800001</v>
      </c>
      <c r="D5" s="7">
        <f t="shared" si="0"/>
        <v>-884606.48239000014</v>
      </c>
      <c r="E5" s="7">
        <f t="shared" ref="E5:G5" si="1">D44</f>
        <v>-866602.68939000007</v>
      </c>
      <c r="F5" s="7">
        <f t="shared" si="1"/>
        <v>-874485.02912000008</v>
      </c>
      <c r="G5" s="7">
        <f t="shared" si="1"/>
        <v>-934964.54830000014</v>
      </c>
      <c r="H5" s="7">
        <f t="shared" ref="H5" si="2">G44</f>
        <v>-918568.0235400002</v>
      </c>
      <c r="I5" s="7">
        <f t="shared" ref="I5" si="3">H44</f>
        <v>-977590.74220000021</v>
      </c>
      <c r="J5" s="7">
        <f t="shared" ref="J5" si="4">I44</f>
        <v>-954742.55882000015</v>
      </c>
      <c r="K5" s="7">
        <f t="shared" ref="K5" si="5">J44</f>
        <v>-1017231.1258400001</v>
      </c>
      <c r="L5" s="7">
        <f t="shared" ref="L5" si="6">K44</f>
        <v>-1044293.2699300001</v>
      </c>
      <c r="M5" s="7">
        <f t="shared" ref="M5" si="7">L44</f>
        <v>-1058583.93417</v>
      </c>
      <c r="N5" s="7">
        <f>B5</f>
        <v>-945195.68</v>
      </c>
    </row>
    <row r="6" spans="1:17" ht="21" customHeight="1" thickBot="1" x14ac:dyDescent="0.3">
      <c r="A6" s="6" t="s">
        <v>13</v>
      </c>
      <c r="B6" s="7">
        <v>-777445.46</v>
      </c>
      <c r="C6" s="7">
        <f t="shared" ref="C6:M6" si="8">B46</f>
        <v>-696709.02999999991</v>
      </c>
      <c r="D6" s="7">
        <f t="shared" si="8"/>
        <v>-719746.53999999992</v>
      </c>
      <c r="E6" s="7">
        <f t="shared" si="8"/>
        <v>-727134.69999999984</v>
      </c>
      <c r="F6" s="7">
        <f t="shared" si="8"/>
        <v>-745174.79999999981</v>
      </c>
      <c r="G6" s="7">
        <f t="shared" si="8"/>
        <v>-753337.34999999986</v>
      </c>
      <c r="H6" s="7">
        <f t="shared" si="8"/>
        <v>-760923.69</v>
      </c>
      <c r="I6" s="7">
        <f t="shared" si="8"/>
        <v>-808148.62</v>
      </c>
      <c r="J6" s="7">
        <f t="shared" si="8"/>
        <v>-820331.63</v>
      </c>
      <c r="K6" s="7">
        <f t="shared" si="8"/>
        <v>-862947.98</v>
      </c>
      <c r="L6" s="7">
        <f t="shared" si="8"/>
        <v>-911296.65</v>
      </c>
      <c r="M6" s="7">
        <f t="shared" si="8"/>
        <v>-951133.58000000007</v>
      </c>
      <c r="N6" s="7">
        <f>B6</f>
        <v>-777445.46</v>
      </c>
    </row>
    <row r="7" spans="1:17" ht="20.25" customHeight="1" thickBot="1" x14ac:dyDescent="0.3">
      <c r="A7" s="8" t="s">
        <v>12</v>
      </c>
      <c r="B7" s="9">
        <f t="shared" ref="B7:M7" si="9">SUM(B8:B15)</f>
        <v>87246.96</v>
      </c>
      <c r="C7" s="9">
        <f t="shared" si="9"/>
        <v>88840.77</v>
      </c>
      <c r="D7" s="9">
        <f t="shared" si="9"/>
        <v>89391.1</v>
      </c>
      <c r="E7" s="9">
        <f t="shared" si="9"/>
        <v>87686.91</v>
      </c>
      <c r="F7" s="9">
        <f t="shared" si="9"/>
        <v>87670.260000000009</v>
      </c>
      <c r="G7" s="9">
        <f t="shared" si="9"/>
        <v>87588.180000000008</v>
      </c>
      <c r="H7" s="9">
        <f t="shared" si="9"/>
        <v>99697.51999999999</v>
      </c>
      <c r="I7" s="9">
        <f t="shared" si="9"/>
        <v>98275.839999999997</v>
      </c>
      <c r="J7" s="9">
        <f t="shared" si="9"/>
        <v>98275.839999999997</v>
      </c>
      <c r="K7" s="9">
        <f t="shared" si="9"/>
        <v>106238.23</v>
      </c>
      <c r="L7" s="9">
        <f t="shared" si="9"/>
        <v>101213.28</v>
      </c>
      <c r="M7" s="9">
        <f t="shared" si="9"/>
        <v>99494.28</v>
      </c>
      <c r="N7" s="9">
        <f>SUM(B7:M7)</f>
        <v>1131619.17</v>
      </c>
    </row>
    <row r="8" spans="1:17" ht="24.75" customHeight="1" thickBot="1" x14ac:dyDescent="0.3">
      <c r="A8" s="3" t="s">
        <v>28</v>
      </c>
      <c r="B8" s="10">
        <f t="shared" ref="B8:G8" si="10">85041.59+970.07</f>
        <v>86011.66</v>
      </c>
      <c r="C8" s="10">
        <f t="shared" si="10"/>
        <v>86011.66</v>
      </c>
      <c r="D8" s="10">
        <f t="shared" si="10"/>
        <v>86011.66</v>
      </c>
      <c r="E8" s="10">
        <f t="shared" si="10"/>
        <v>86011.66</v>
      </c>
      <c r="F8" s="10">
        <f t="shared" si="10"/>
        <v>86011.66</v>
      </c>
      <c r="G8" s="10">
        <f t="shared" si="10"/>
        <v>86011.66</v>
      </c>
      <c r="H8" s="10">
        <f t="shared" ref="H8:M8" si="11">90215.25+970.07</f>
        <v>91185.32</v>
      </c>
      <c r="I8" s="10">
        <f t="shared" si="11"/>
        <v>91185.32</v>
      </c>
      <c r="J8" s="10">
        <f t="shared" si="11"/>
        <v>91185.32</v>
      </c>
      <c r="K8" s="10">
        <f t="shared" si="11"/>
        <v>91185.32</v>
      </c>
      <c r="L8" s="10">
        <f t="shared" si="11"/>
        <v>91185.32</v>
      </c>
      <c r="M8" s="10">
        <f t="shared" si="11"/>
        <v>91185.32</v>
      </c>
      <c r="N8" s="10">
        <f>SUM(B8:M8)</f>
        <v>1063181.8800000004</v>
      </c>
    </row>
    <row r="9" spans="1:17" ht="24.75" hidden="1" customHeight="1" thickBot="1" x14ac:dyDescent="0.3">
      <c r="A9" s="3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 t="shared" ref="N9:N12" si="12">SUM(B9:M9)</f>
        <v>0</v>
      </c>
    </row>
    <row r="10" spans="1:17" ht="24.75" customHeight="1" thickBot="1" x14ac:dyDescent="0.3">
      <c r="A10" s="3" t="s">
        <v>17</v>
      </c>
      <c r="B10" s="10">
        <v>110.99</v>
      </c>
      <c r="C10" s="10">
        <v>1704.8</v>
      </c>
      <c r="D10" s="10">
        <v>2255.19</v>
      </c>
      <c r="E10" s="10">
        <v>551</v>
      </c>
      <c r="F10" s="10">
        <v>534.35</v>
      </c>
      <c r="G10" s="10">
        <v>263.58</v>
      </c>
      <c r="H10" s="10">
        <v>1421.68</v>
      </c>
      <c r="I10" s="10">
        <v>0</v>
      </c>
      <c r="J10" s="10">
        <v>0</v>
      </c>
      <c r="K10" s="10">
        <v>7962.39</v>
      </c>
      <c r="L10" s="10">
        <v>3186.33</v>
      </c>
      <c r="M10" s="10">
        <v>3506.81</v>
      </c>
      <c r="N10" s="10">
        <f t="shared" si="12"/>
        <v>21497.119999999999</v>
      </c>
    </row>
    <row r="11" spans="1:17" ht="24.6" customHeight="1" thickBot="1" x14ac:dyDescent="0.3">
      <c r="A11" s="3" t="s">
        <v>18</v>
      </c>
      <c r="B11" s="10">
        <v>223.37</v>
      </c>
      <c r="C11" s="10">
        <v>223.37</v>
      </c>
      <c r="D11" s="10">
        <v>223.31</v>
      </c>
      <c r="E11" s="10">
        <v>223.31</v>
      </c>
      <c r="F11" s="10">
        <v>223.31</v>
      </c>
      <c r="G11" s="10">
        <v>223.31</v>
      </c>
      <c r="H11" s="10">
        <v>246.78</v>
      </c>
      <c r="I11" s="10">
        <v>246.78</v>
      </c>
      <c r="J11" s="10">
        <v>246.78</v>
      </c>
      <c r="K11" s="10">
        <v>246.78</v>
      </c>
      <c r="L11" s="10">
        <v>246.78</v>
      </c>
      <c r="M11" s="10">
        <v>246.78</v>
      </c>
      <c r="N11" s="10">
        <f t="shared" si="12"/>
        <v>2820.6600000000003</v>
      </c>
    </row>
    <row r="12" spans="1:17" ht="22.5" customHeight="1" thickBot="1" x14ac:dyDescent="0.3">
      <c r="A12" s="3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188.69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f t="shared" si="12"/>
        <v>188.69</v>
      </c>
    </row>
    <row r="13" spans="1:17" ht="22.5" customHeight="1" thickBot="1" x14ac:dyDescent="0.3">
      <c r="A13" s="3" t="s">
        <v>25</v>
      </c>
      <c r="B13" s="10">
        <v>430.94</v>
      </c>
      <c r="C13" s="10">
        <v>430.94</v>
      </c>
      <c r="D13" s="10">
        <v>430.94</v>
      </c>
      <c r="E13" s="10">
        <v>430.94</v>
      </c>
      <c r="F13" s="10">
        <v>430.94</v>
      </c>
      <c r="G13" s="10">
        <v>430.94</v>
      </c>
      <c r="H13" s="10">
        <v>497.84</v>
      </c>
      <c r="I13" s="10">
        <v>497.84</v>
      </c>
      <c r="J13" s="10">
        <v>497.84</v>
      </c>
      <c r="K13" s="10">
        <v>497.84</v>
      </c>
      <c r="L13" s="10">
        <v>248.95</v>
      </c>
      <c r="M13" s="10">
        <v>-1790.53</v>
      </c>
      <c r="N13" s="10">
        <f>SUM(B13:M13)</f>
        <v>3035.42</v>
      </c>
    </row>
    <row r="14" spans="1:17" ht="22.5" customHeight="1" thickBot="1" x14ac:dyDescent="0.3">
      <c r="A14" s="3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5875.9</v>
      </c>
      <c r="I14" s="10">
        <v>5875.9</v>
      </c>
      <c r="J14" s="10">
        <v>5875.9</v>
      </c>
      <c r="K14" s="10">
        <v>5875.9</v>
      </c>
      <c r="L14" s="10">
        <v>5875.9</v>
      </c>
      <c r="M14" s="10">
        <v>5875.9</v>
      </c>
      <c r="N14" s="10">
        <f>SUM(B14:M14)</f>
        <v>35255.4</v>
      </c>
    </row>
    <row r="15" spans="1:17" ht="24" customHeight="1" thickBot="1" x14ac:dyDescent="0.3">
      <c r="A15" s="3" t="s">
        <v>15</v>
      </c>
      <c r="B15" s="10">
        <v>470</v>
      </c>
      <c r="C15" s="10">
        <v>470</v>
      </c>
      <c r="D15" s="10">
        <v>470</v>
      </c>
      <c r="E15" s="10">
        <v>470</v>
      </c>
      <c r="F15" s="10">
        <v>470</v>
      </c>
      <c r="G15" s="10">
        <v>470</v>
      </c>
      <c r="H15" s="10">
        <v>470</v>
      </c>
      <c r="I15" s="10">
        <v>470</v>
      </c>
      <c r="J15" s="10">
        <v>470</v>
      </c>
      <c r="K15" s="10">
        <v>470</v>
      </c>
      <c r="L15" s="10">
        <v>470</v>
      </c>
      <c r="M15" s="10">
        <v>470</v>
      </c>
      <c r="N15" s="10">
        <f>SUM(B15:M15)</f>
        <v>5640</v>
      </c>
    </row>
    <row r="16" spans="1:17" ht="20.25" customHeight="1" thickBot="1" x14ac:dyDescent="0.3">
      <c r="A16" s="11" t="s">
        <v>8</v>
      </c>
      <c r="B16" s="12">
        <f t="shared" ref="B16:M16" si="13">SUM(B17:B24)</f>
        <v>167983.38999999998</v>
      </c>
      <c r="C16" s="12">
        <f t="shared" si="13"/>
        <v>65803.259999999995</v>
      </c>
      <c r="D16" s="12">
        <f t="shared" si="13"/>
        <v>82002.940000000017</v>
      </c>
      <c r="E16" s="12">
        <f t="shared" si="13"/>
        <v>69646.810000000012</v>
      </c>
      <c r="F16" s="12">
        <f t="shared" si="13"/>
        <v>79507.709999999992</v>
      </c>
      <c r="G16" s="12">
        <f t="shared" si="13"/>
        <v>80001.839999999982</v>
      </c>
      <c r="H16" s="12">
        <f>SUM(H17:H24)</f>
        <v>52472.59</v>
      </c>
      <c r="I16" s="12">
        <f t="shared" si="13"/>
        <v>86092.83</v>
      </c>
      <c r="J16" s="12">
        <f t="shared" si="13"/>
        <v>55659.490000000005</v>
      </c>
      <c r="K16" s="12">
        <f t="shared" si="13"/>
        <v>57889.55999999999</v>
      </c>
      <c r="L16" s="12">
        <f t="shared" si="13"/>
        <v>56146.36</v>
      </c>
      <c r="M16" s="12">
        <f t="shared" si="13"/>
        <v>92135.83</v>
      </c>
      <c r="N16" s="12">
        <f>SUM(B16:M16)</f>
        <v>945342.60999999975</v>
      </c>
    </row>
    <row r="17" spans="1:15" ht="24" customHeight="1" thickBot="1" x14ac:dyDescent="0.3">
      <c r="A17" s="3" t="s">
        <v>28</v>
      </c>
      <c r="B17" s="10">
        <f>57822.27+492.75+97712.78</f>
        <v>156027.79999999999</v>
      </c>
      <c r="C17" s="10">
        <f>47543.18+630.86+17089.17</f>
        <v>65263.21</v>
      </c>
      <c r="D17" s="10">
        <f>48532.18+796.95+31315.15</f>
        <v>80644.28</v>
      </c>
      <c r="E17" s="10">
        <f>48780.37+328.27+1617.06+16768.88</f>
        <v>67494.58</v>
      </c>
      <c r="F17" s="10">
        <f>46355.73+599.19+1502.26+12417.81+16768.88</f>
        <v>77643.87000000001</v>
      </c>
      <c r="G17" s="10">
        <f>47605.42+482.81+16768.88+12417.81+1502.26</f>
        <v>78777.179999999993</v>
      </c>
      <c r="H17" s="10">
        <f>50496.99+586.07</f>
        <v>51083.06</v>
      </c>
      <c r="I17" s="10">
        <f>47794.05+512.39+30610.1</f>
        <v>78916.540000000008</v>
      </c>
      <c r="J17" s="10">
        <f>49824.29+526.76</f>
        <v>50351.05</v>
      </c>
      <c r="K17" s="10">
        <f>50224.92+648.7</f>
        <v>50873.619999999995</v>
      </c>
      <c r="L17" s="10">
        <f>46618.5+520.71</f>
        <v>47139.21</v>
      </c>
      <c r="M17" s="10">
        <f>52883.26+581.61+31039.02</f>
        <v>84503.89</v>
      </c>
      <c r="N17" s="10">
        <f>SUM(B17:M17)</f>
        <v>888718.29</v>
      </c>
    </row>
    <row r="18" spans="1:15" ht="24" hidden="1" customHeight="1" thickBot="1" x14ac:dyDescent="0.3">
      <c r="A18" s="3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f t="shared" ref="N18:N24" si="14">SUM(B18:M18)</f>
        <v>0</v>
      </c>
    </row>
    <row r="19" spans="1:15" ht="26.25" customHeight="1" thickBot="1" x14ac:dyDescent="0.3">
      <c r="A19" s="3" t="s">
        <v>17</v>
      </c>
      <c r="B19" s="10">
        <f>65.08+3794.85</f>
        <v>3859.93</v>
      </c>
      <c r="C19" s="10">
        <v>62.77</v>
      </c>
      <c r="D19" s="10">
        <v>854.19</v>
      </c>
      <c r="E19" s="10">
        <f>1205.81+336.16</f>
        <v>1541.97</v>
      </c>
      <c r="F19" s="10">
        <f>344.67+39.84+329.31+444.69</f>
        <v>1158.51</v>
      </c>
      <c r="G19" s="10">
        <f>304.42+108.65+80.46+9.73</f>
        <v>503.26000000000005</v>
      </c>
      <c r="H19" s="10">
        <v>197.1</v>
      </c>
      <c r="I19" s="10">
        <f>715.41+192.84</f>
        <v>908.25</v>
      </c>
      <c r="J19" s="10">
        <v>53.65</v>
      </c>
      <c r="K19" s="10">
        <v>44.38</v>
      </c>
      <c r="L19" s="10">
        <v>3761.47</v>
      </c>
      <c r="M19" s="10">
        <v>310.35000000000002</v>
      </c>
      <c r="N19" s="10">
        <f t="shared" si="14"/>
        <v>13255.829999999998</v>
      </c>
    </row>
    <row r="20" spans="1:15" ht="26.25" customHeight="1" thickBot="1" x14ac:dyDescent="0.3">
      <c r="A20" s="3" t="s">
        <v>18</v>
      </c>
      <c r="B20" s="10">
        <f>150.42+961.2</f>
        <v>1111.6200000000001</v>
      </c>
      <c r="C20" s="10">
        <v>124.79</v>
      </c>
      <c r="D20" s="10">
        <v>127.38</v>
      </c>
      <c r="E20" s="10">
        <f>128.03+44.04</f>
        <v>172.07</v>
      </c>
      <c r="F20" s="10">
        <f>122.06+3.94+32.61+44.04</f>
        <v>202.65</v>
      </c>
      <c r="G20" s="10">
        <f>124.96+44.04+32.61+3.94</f>
        <v>205.55</v>
      </c>
      <c r="H20" s="10">
        <v>132.51</v>
      </c>
      <c r="I20" s="10">
        <f>130.32+80.59</f>
        <v>210.91</v>
      </c>
      <c r="J20" s="10">
        <v>135.99</v>
      </c>
      <c r="K20" s="10">
        <v>137.1</v>
      </c>
      <c r="L20" s="10">
        <v>127.49</v>
      </c>
      <c r="M20" s="10">
        <v>144.63</v>
      </c>
      <c r="N20" s="10">
        <f t="shared" si="14"/>
        <v>2832.6899999999991</v>
      </c>
    </row>
    <row r="21" spans="1:15" ht="24" customHeight="1" thickBot="1" x14ac:dyDescent="0.3">
      <c r="A21" s="3" t="s">
        <v>19</v>
      </c>
      <c r="B21" s="10">
        <f>136.19+2990.15</f>
        <v>3126.34</v>
      </c>
      <c r="C21" s="10">
        <v>11.7</v>
      </c>
      <c r="D21" s="10">
        <v>31.21</v>
      </c>
      <c r="E21" s="10">
        <v>6.07</v>
      </c>
      <c r="F21" s="10">
        <v>12.48</v>
      </c>
      <c r="G21" s="10">
        <v>19.09</v>
      </c>
      <c r="H21" s="10">
        <v>104.08</v>
      </c>
      <c r="I21" s="10">
        <v>10.23</v>
      </c>
      <c r="J21" s="10">
        <v>7.83</v>
      </c>
      <c r="K21" s="10">
        <v>4.53</v>
      </c>
      <c r="L21" s="10">
        <v>0.6</v>
      </c>
      <c r="M21" s="10">
        <v>2.23</v>
      </c>
      <c r="N21" s="10">
        <f t="shared" si="14"/>
        <v>3336.3900000000003</v>
      </c>
    </row>
    <row r="22" spans="1:15" ht="24" customHeight="1" thickBot="1" x14ac:dyDescent="0.3">
      <c r="A22" s="3" t="s">
        <v>25</v>
      </c>
      <c r="B22" s="10">
        <f>291.82+1865.88</f>
        <v>2157.7000000000003</v>
      </c>
      <c r="C22" s="10">
        <v>240.79</v>
      </c>
      <c r="D22" s="10">
        <v>245.88</v>
      </c>
      <c r="E22" s="10">
        <f>247.15+84.97</f>
        <v>332.12</v>
      </c>
      <c r="F22" s="10">
        <f>234.71+7.61+62.91+84.97</f>
        <v>390.20000000000005</v>
      </c>
      <c r="G22" s="10">
        <f>241.27+84.97+62.91+7.61</f>
        <v>396.76</v>
      </c>
      <c r="H22" s="10">
        <v>255.84</v>
      </c>
      <c r="I22" s="10">
        <f>262.04+155.49</f>
        <v>417.53000000000003</v>
      </c>
      <c r="J22" s="10">
        <v>273.95999999999998</v>
      </c>
      <c r="K22" s="10">
        <v>276.19</v>
      </c>
      <c r="L22" s="10">
        <v>257.07</v>
      </c>
      <c r="M22" s="10">
        <v>133.08000000000001</v>
      </c>
      <c r="N22" s="10">
        <f t="shared" si="14"/>
        <v>5377.12</v>
      </c>
    </row>
    <row r="23" spans="1:15" ht="24" customHeight="1" thickBot="1" x14ac:dyDescent="0.3">
      <c r="A23" s="3" t="s">
        <v>43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4479.37</v>
      </c>
      <c r="J23" s="10">
        <v>4737.01</v>
      </c>
      <c r="K23" s="10">
        <v>5553.74</v>
      </c>
      <c r="L23" s="10">
        <v>4760.5200000000004</v>
      </c>
      <c r="M23" s="10">
        <v>5141.6499999999996</v>
      </c>
      <c r="N23" s="10">
        <f t="shared" si="14"/>
        <v>24672.29</v>
      </c>
    </row>
    <row r="24" spans="1:15" ht="21" customHeight="1" thickBot="1" x14ac:dyDescent="0.3">
      <c r="A24" s="3" t="s">
        <v>15</v>
      </c>
      <c r="B24" s="13">
        <v>1700</v>
      </c>
      <c r="C24" s="13">
        <v>100</v>
      </c>
      <c r="D24" s="13">
        <v>100</v>
      </c>
      <c r="E24" s="13">
        <v>100</v>
      </c>
      <c r="F24" s="13">
        <v>100</v>
      </c>
      <c r="G24" s="13">
        <v>100</v>
      </c>
      <c r="H24" s="13">
        <v>700</v>
      </c>
      <c r="I24" s="13">
        <v>1150</v>
      </c>
      <c r="J24" s="13">
        <v>100</v>
      </c>
      <c r="K24" s="10">
        <v>1000</v>
      </c>
      <c r="L24" s="10">
        <v>100</v>
      </c>
      <c r="M24" s="10">
        <v>1900</v>
      </c>
      <c r="N24" s="10">
        <f t="shared" si="14"/>
        <v>7150</v>
      </c>
      <c r="O24" s="2"/>
    </row>
    <row r="25" spans="1:15" ht="21.75" customHeight="1" thickBot="1" x14ac:dyDescent="0.3">
      <c r="A25" s="14" t="s">
        <v>24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5" ht="24" customHeight="1" thickBot="1" x14ac:dyDescent="0.3">
      <c r="A26" s="3" t="s">
        <v>1</v>
      </c>
      <c r="B26" s="10">
        <f t="shared" ref="B26:M26" si="15">4041.9*0.6</f>
        <v>2425.14</v>
      </c>
      <c r="C26" s="10">
        <f t="shared" si="15"/>
        <v>2425.14</v>
      </c>
      <c r="D26" s="10">
        <f t="shared" si="15"/>
        <v>2425.14</v>
      </c>
      <c r="E26" s="10">
        <f t="shared" si="15"/>
        <v>2425.14</v>
      </c>
      <c r="F26" s="10">
        <f t="shared" si="15"/>
        <v>2425.14</v>
      </c>
      <c r="G26" s="10">
        <f t="shared" si="15"/>
        <v>2425.14</v>
      </c>
      <c r="H26" s="10">
        <f t="shared" si="15"/>
        <v>2425.14</v>
      </c>
      <c r="I26" s="10">
        <f t="shared" si="15"/>
        <v>2425.14</v>
      </c>
      <c r="J26" s="10">
        <f t="shared" si="15"/>
        <v>2425.14</v>
      </c>
      <c r="K26" s="10">
        <f t="shared" si="15"/>
        <v>2425.14</v>
      </c>
      <c r="L26" s="10">
        <f t="shared" si="15"/>
        <v>2425.14</v>
      </c>
      <c r="M26" s="10">
        <f t="shared" si="15"/>
        <v>2425.14</v>
      </c>
      <c r="N26" s="10">
        <f>SUM(B26:M26)</f>
        <v>29101.679999999997</v>
      </c>
    </row>
    <row r="27" spans="1:15" ht="24.6" customHeight="1" thickBot="1" x14ac:dyDescent="0.3">
      <c r="A27" s="3" t="s">
        <v>2</v>
      </c>
      <c r="B27" s="10">
        <f t="shared" ref="B27:M27" si="16">4041.9*0.17</f>
        <v>687.12300000000005</v>
      </c>
      <c r="C27" s="10">
        <f t="shared" si="16"/>
        <v>687.12300000000005</v>
      </c>
      <c r="D27" s="10">
        <f t="shared" si="16"/>
        <v>687.12300000000005</v>
      </c>
      <c r="E27" s="10">
        <f t="shared" si="16"/>
        <v>687.12300000000005</v>
      </c>
      <c r="F27" s="10">
        <f t="shared" si="16"/>
        <v>687.12300000000005</v>
      </c>
      <c r="G27" s="10">
        <f t="shared" si="16"/>
        <v>687.12300000000005</v>
      </c>
      <c r="H27" s="10">
        <f t="shared" si="16"/>
        <v>687.12300000000005</v>
      </c>
      <c r="I27" s="10">
        <f t="shared" si="16"/>
        <v>687.12300000000005</v>
      </c>
      <c r="J27" s="10">
        <f t="shared" si="16"/>
        <v>687.12300000000005</v>
      </c>
      <c r="K27" s="10">
        <f t="shared" si="16"/>
        <v>687.12300000000005</v>
      </c>
      <c r="L27" s="10">
        <f t="shared" si="16"/>
        <v>687.12300000000005</v>
      </c>
      <c r="M27" s="10">
        <f t="shared" si="16"/>
        <v>687.12300000000005</v>
      </c>
      <c r="N27" s="10">
        <f>SUM(B27:M27)</f>
        <v>8245.4759999999987</v>
      </c>
    </row>
    <row r="28" spans="1:15" ht="26.4" customHeight="1" thickBot="1" x14ac:dyDescent="0.3">
      <c r="A28" s="3" t="s">
        <v>3</v>
      </c>
      <c r="B28" s="10">
        <f>86776.96*2.3%</f>
        <v>1995.8700800000001</v>
      </c>
      <c r="C28" s="10">
        <f>88370.77*2.3%</f>
        <v>2032.5277100000001</v>
      </c>
      <c r="D28" s="10">
        <f>88921.1*2.3%</f>
        <v>2045.1853000000001</v>
      </c>
      <c r="E28" s="10">
        <f>87216.91*2.3%</f>
        <v>2005.98893</v>
      </c>
      <c r="F28" s="10">
        <f>87200.26*2.3%</f>
        <v>2005.6059799999998</v>
      </c>
      <c r="G28" s="10">
        <f>87118.18*2.3%</f>
        <v>2003.7181399999997</v>
      </c>
      <c r="H28" s="10">
        <f>99227.52*2.3%</f>
        <v>2282.2329600000003</v>
      </c>
      <c r="I28" s="10">
        <f>97805.84*2.3%</f>
        <v>2249.5343199999998</v>
      </c>
      <c r="J28" s="10">
        <f>97805.84*2.3%</f>
        <v>2249.5343199999998</v>
      </c>
      <c r="K28" s="10">
        <f>105768.23*2.3%</f>
        <v>2432.6692899999998</v>
      </c>
      <c r="L28" s="10">
        <f>100743.28*2.3%</f>
        <v>2317.0954400000001</v>
      </c>
      <c r="M28" s="10">
        <f>99024.28*2.3%</f>
        <v>2277.5584399999998</v>
      </c>
      <c r="N28" s="10">
        <f t="shared" ref="N28:N41" si="17">SUM(B28:M28)</f>
        <v>25897.520909999996</v>
      </c>
    </row>
    <row r="29" spans="1:15" ht="24.6" customHeight="1" thickBot="1" x14ac:dyDescent="0.3">
      <c r="A29" s="3" t="s">
        <v>4</v>
      </c>
      <c r="B29" s="10">
        <f>58958.53*3%</f>
        <v>1768.7558999999999</v>
      </c>
      <c r="C29" s="10">
        <f>48614.09*3%</f>
        <v>1458.4226999999998</v>
      </c>
      <c r="D29" s="10">
        <f>50587.79*3%</f>
        <v>1517.6336999999999</v>
      </c>
      <c r="E29" s="10">
        <f>52312.76*3%</f>
        <v>1569.3828000000001</v>
      </c>
      <c r="F29" s="10">
        <f>47668.84*3%</f>
        <v>1430.0651999999998</v>
      </c>
      <c r="G29" s="10">
        <f>48777.97*3%</f>
        <v>1463.3390999999999</v>
      </c>
      <c r="H29" s="10">
        <f>51772.59*3%</f>
        <v>1553.1776999999997</v>
      </c>
      <c r="I29" s="10">
        <f>53903.81*3%</f>
        <v>1617.1143</v>
      </c>
      <c r="J29" s="10">
        <f>55559.49*3%</f>
        <v>1666.7846999999999</v>
      </c>
      <c r="K29" s="10">
        <f>56889.56*3%</f>
        <v>1706.6867999999999</v>
      </c>
      <c r="L29" s="10">
        <f>56046.36*3%</f>
        <v>1681.3907999999999</v>
      </c>
      <c r="M29" s="10">
        <f>59196.81*3%</f>
        <v>1775.9042999999999</v>
      </c>
      <c r="N29" s="10">
        <f t="shared" si="17"/>
        <v>19208.657999999996</v>
      </c>
    </row>
    <row r="30" spans="1:15" ht="23.25" customHeight="1" thickBot="1" x14ac:dyDescent="0.3">
      <c r="A30" s="3" t="s">
        <v>9</v>
      </c>
      <c r="B30" s="20">
        <f t="shared" ref="B30:M30" si="18">4041.9*9.7</f>
        <v>39206.43</v>
      </c>
      <c r="C30" s="20">
        <f t="shared" si="18"/>
        <v>39206.43</v>
      </c>
      <c r="D30" s="20">
        <f t="shared" si="18"/>
        <v>39206.43</v>
      </c>
      <c r="E30" s="20">
        <f t="shared" si="18"/>
        <v>39206.43</v>
      </c>
      <c r="F30" s="20">
        <f t="shared" si="18"/>
        <v>39206.43</v>
      </c>
      <c r="G30" s="20">
        <f t="shared" si="18"/>
        <v>39206.43</v>
      </c>
      <c r="H30" s="20">
        <f t="shared" si="18"/>
        <v>39206.43</v>
      </c>
      <c r="I30" s="20">
        <f t="shared" si="18"/>
        <v>39206.43</v>
      </c>
      <c r="J30" s="20">
        <f t="shared" si="18"/>
        <v>39206.43</v>
      </c>
      <c r="K30" s="20">
        <f t="shared" si="18"/>
        <v>39206.43</v>
      </c>
      <c r="L30" s="20">
        <f t="shared" si="18"/>
        <v>39206.43</v>
      </c>
      <c r="M30" s="20">
        <f t="shared" si="18"/>
        <v>39206.43</v>
      </c>
      <c r="N30" s="10">
        <f t="shared" si="17"/>
        <v>470477.16</v>
      </c>
    </row>
    <row r="31" spans="1:15" ht="26.25" customHeight="1" thickBot="1" x14ac:dyDescent="0.3">
      <c r="A31" s="3" t="s">
        <v>20</v>
      </c>
      <c r="B31" s="10">
        <f>1301.84+402.97</f>
        <v>1704.81</v>
      </c>
      <c r="C31" s="10">
        <f>1797.8+457.43</f>
        <v>2255.23</v>
      </c>
      <c r="D31" s="10">
        <f>335.45+215.56</f>
        <v>551.01</v>
      </c>
      <c r="E31" s="10">
        <f>454.22+80.14</f>
        <v>534.36</v>
      </c>
      <c r="F31" s="10">
        <f>210.24+53.37</f>
        <v>263.61</v>
      </c>
      <c r="G31" s="10">
        <f>1261.21+160.43</f>
        <v>1421.64</v>
      </c>
      <c r="H31" s="10">
        <v>0</v>
      </c>
      <c r="I31" s="10">
        <v>0</v>
      </c>
      <c r="J31" s="10">
        <f>6875.9+1086.57</f>
        <v>7962.4699999999993</v>
      </c>
      <c r="K31" s="10">
        <f>2752.2+434.14</f>
        <v>3186.3399999999997</v>
      </c>
      <c r="L31" s="10">
        <f>3137.71+369.09</f>
        <v>3506.8</v>
      </c>
      <c r="M31" s="10">
        <f>1152.2+276.81</f>
        <v>1429.01</v>
      </c>
      <c r="N31" s="10">
        <f t="shared" si="17"/>
        <v>22815.279999999995</v>
      </c>
    </row>
    <row r="32" spans="1:15" ht="26.25" customHeight="1" thickBot="1" x14ac:dyDescent="0.3">
      <c r="A32" s="3" t="s">
        <v>21</v>
      </c>
      <c r="B32" s="10">
        <v>335</v>
      </c>
      <c r="C32" s="10">
        <v>335</v>
      </c>
      <c r="D32" s="10">
        <v>335</v>
      </c>
      <c r="E32" s="10">
        <v>335</v>
      </c>
      <c r="F32" s="10">
        <v>335</v>
      </c>
      <c r="G32" s="10">
        <v>335</v>
      </c>
      <c r="H32" s="10">
        <v>370.04</v>
      </c>
      <c r="I32" s="10">
        <v>370.04</v>
      </c>
      <c r="J32" s="10">
        <v>370.04</v>
      </c>
      <c r="K32" s="10">
        <v>370.04</v>
      </c>
      <c r="L32" s="10">
        <v>370.04</v>
      </c>
      <c r="M32" s="10">
        <v>370.04</v>
      </c>
      <c r="N32" s="10">
        <f t="shared" si="17"/>
        <v>4230.24</v>
      </c>
    </row>
    <row r="33" spans="1:14" ht="26.25" customHeight="1" thickBot="1" x14ac:dyDescent="0.3">
      <c r="A33" s="3" t="s">
        <v>22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f t="shared" si="17"/>
        <v>0</v>
      </c>
    </row>
    <row r="34" spans="1:14" ht="26.25" customHeight="1" thickBot="1" x14ac:dyDescent="0.3">
      <c r="A34" s="3" t="s">
        <v>25</v>
      </c>
      <c r="B34" s="10">
        <v>430.94</v>
      </c>
      <c r="C34" s="10">
        <v>430.94</v>
      </c>
      <c r="D34" s="10">
        <v>430.94</v>
      </c>
      <c r="E34" s="10">
        <v>430.94</v>
      </c>
      <c r="F34" s="10">
        <v>430.94</v>
      </c>
      <c r="G34" s="10">
        <v>430.94</v>
      </c>
      <c r="H34" s="10">
        <v>248.9</v>
      </c>
      <c r="I34" s="10">
        <v>248.9</v>
      </c>
      <c r="J34" s="10">
        <v>248.9</v>
      </c>
      <c r="K34" s="10">
        <v>248.9</v>
      </c>
      <c r="L34" s="10">
        <v>248.9</v>
      </c>
      <c r="M34" s="10">
        <v>248.9</v>
      </c>
      <c r="N34" s="10">
        <f t="shared" si="17"/>
        <v>4079.0400000000004</v>
      </c>
    </row>
    <row r="35" spans="1:14" ht="22.5" customHeight="1" thickBot="1" x14ac:dyDescent="0.3">
      <c r="A35" s="3" t="s">
        <v>6</v>
      </c>
      <c r="B35" s="10">
        <f t="shared" ref="B35:G35" si="19">4041.9*3.15</f>
        <v>12731.985000000001</v>
      </c>
      <c r="C35" s="10">
        <f t="shared" si="19"/>
        <v>12731.985000000001</v>
      </c>
      <c r="D35" s="10">
        <f t="shared" si="19"/>
        <v>12731.985000000001</v>
      </c>
      <c r="E35" s="10">
        <f t="shared" si="19"/>
        <v>12731.985000000001</v>
      </c>
      <c r="F35" s="10">
        <f t="shared" si="19"/>
        <v>12731.985000000001</v>
      </c>
      <c r="G35" s="10">
        <f t="shared" si="19"/>
        <v>12731.985000000001</v>
      </c>
      <c r="H35" s="10">
        <f>4041.9*3.35</f>
        <v>13540.365</v>
      </c>
      <c r="I35" s="10">
        <f t="shared" ref="I35:M35" si="20">4041.9*3.35</f>
        <v>13540.365</v>
      </c>
      <c r="J35" s="10">
        <f t="shared" si="20"/>
        <v>13540.365</v>
      </c>
      <c r="K35" s="10">
        <f t="shared" si="20"/>
        <v>13540.365</v>
      </c>
      <c r="L35" s="10">
        <f t="shared" si="20"/>
        <v>13540.365</v>
      </c>
      <c r="M35" s="10">
        <f t="shared" si="20"/>
        <v>13540.365</v>
      </c>
      <c r="N35" s="10">
        <f t="shared" si="17"/>
        <v>157634.1</v>
      </c>
    </row>
    <row r="36" spans="1:14" ht="21.75" customHeight="1" thickBot="1" x14ac:dyDescent="0.3">
      <c r="A36" s="3" t="s">
        <v>29</v>
      </c>
      <c r="B36" s="10">
        <v>2000</v>
      </c>
      <c r="C36" s="10">
        <v>2000</v>
      </c>
      <c r="D36" s="10">
        <v>2000</v>
      </c>
      <c r="E36" s="10">
        <v>2000</v>
      </c>
      <c r="F36" s="10">
        <v>2000</v>
      </c>
      <c r="G36" s="10">
        <v>2000</v>
      </c>
      <c r="H36" s="10">
        <v>2000</v>
      </c>
      <c r="I36" s="10">
        <v>2000</v>
      </c>
      <c r="J36" s="10">
        <v>0</v>
      </c>
      <c r="K36" s="10">
        <v>0</v>
      </c>
      <c r="L36" s="10">
        <v>0</v>
      </c>
      <c r="M36" s="10">
        <v>0</v>
      </c>
      <c r="N36" s="10">
        <f t="shared" si="17"/>
        <v>16000</v>
      </c>
    </row>
    <row r="37" spans="1:14" ht="21.75" customHeight="1" thickBot="1" x14ac:dyDescent="0.3">
      <c r="A37" s="3" t="s">
        <v>43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2553.56</v>
      </c>
      <c r="K37" s="10">
        <v>2699.91</v>
      </c>
      <c r="L37" s="10">
        <v>3165.62</v>
      </c>
      <c r="M37" s="10">
        <v>2713.36</v>
      </c>
      <c r="N37" s="10">
        <f t="shared" si="17"/>
        <v>11132.45</v>
      </c>
    </row>
    <row r="38" spans="1:14" ht="21.75" customHeight="1" thickBot="1" x14ac:dyDescent="0.3">
      <c r="A38" s="3" t="s">
        <v>44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f>582+1343.81</f>
        <v>1925.81</v>
      </c>
      <c r="K38" s="10">
        <f>616+1421.1</f>
        <v>2037.1</v>
      </c>
      <c r="L38" s="10">
        <f>722+1666.12</f>
        <v>2388.12</v>
      </c>
      <c r="M38" s="10">
        <f>619+1428.16</f>
        <v>2047.16</v>
      </c>
      <c r="N38" s="10">
        <f t="shared" si="17"/>
        <v>8398.19</v>
      </c>
    </row>
    <row r="39" spans="1:14" ht="21.75" customHeight="1" thickBot="1" x14ac:dyDescent="0.3">
      <c r="A39" s="3" t="s">
        <v>26</v>
      </c>
      <c r="B39" s="10">
        <v>900</v>
      </c>
      <c r="C39" s="10">
        <v>900</v>
      </c>
      <c r="D39" s="10">
        <v>900</v>
      </c>
      <c r="E39" s="10">
        <v>900</v>
      </c>
      <c r="F39" s="10">
        <v>900</v>
      </c>
      <c r="G39" s="10">
        <v>900</v>
      </c>
      <c r="H39" s="10">
        <v>900</v>
      </c>
      <c r="I39" s="10">
        <v>900</v>
      </c>
      <c r="J39" s="10">
        <v>900</v>
      </c>
      <c r="K39" s="10">
        <v>900</v>
      </c>
      <c r="L39" s="10">
        <v>900</v>
      </c>
      <c r="M39" s="10">
        <v>900</v>
      </c>
      <c r="N39" s="10">
        <f t="shared" si="17"/>
        <v>10800</v>
      </c>
    </row>
    <row r="40" spans="1:14" ht="21" customHeight="1" thickBot="1" x14ac:dyDescent="0.3">
      <c r="A40" s="3" t="s">
        <v>14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15511</v>
      </c>
      <c r="L40" s="10">
        <v>0</v>
      </c>
      <c r="M40" s="10">
        <v>0</v>
      </c>
      <c r="N40" s="10">
        <f t="shared" si="17"/>
        <v>15511</v>
      </c>
    </row>
    <row r="41" spans="1:14" ht="21" customHeight="1" thickBot="1" x14ac:dyDescent="0.3">
      <c r="A41" s="3" t="s">
        <v>10</v>
      </c>
      <c r="B41" s="10">
        <f>105+422.1</f>
        <v>527.1</v>
      </c>
      <c r="C41" s="10">
        <f>8388.1+5216.2+4599.3+4599.1+2682.5+5749.5+12786.8</f>
        <v>44021.5</v>
      </c>
      <c r="D41" s="10">
        <f>958.7+105+105</f>
        <v>1168.7</v>
      </c>
      <c r="E41" s="10">
        <f>13014.5+1688.3</f>
        <v>14702.8</v>
      </c>
      <c r="F41" s="10">
        <f>77571.33</f>
        <v>77571.33</v>
      </c>
      <c r="G41" s="10">
        <v>0</v>
      </c>
      <c r="H41" s="10">
        <f>662.1+47619.8</f>
        <v>48281.9</v>
      </c>
      <c r="I41" s="10">
        <v>0</v>
      </c>
      <c r="J41" s="10">
        <f>2500+844.1+9121.8+4322+702.3+20547.8+6373.9</f>
        <v>44411.9</v>
      </c>
      <c r="K41" s="10">
        <v>0</v>
      </c>
      <c r="L41" s="10">
        <v>0</v>
      </c>
      <c r="M41" s="10">
        <f>15000</f>
        <v>15000</v>
      </c>
      <c r="N41" s="10">
        <f t="shared" si="17"/>
        <v>245685.22999999998</v>
      </c>
    </row>
    <row r="42" spans="1:14" ht="22.5" customHeight="1" thickBot="1" x14ac:dyDescent="0.3">
      <c r="A42" s="8" t="s">
        <v>23</v>
      </c>
      <c r="B42" s="9">
        <f>SUM(B26:B41)</f>
        <v>64713.153979999995</v>
      </c>
      <c r="C42" s="9">
        <f t="shared" ref="C42:D42" si="21">SUM(C26:C41)</f>
        <v>108484.29841000002</v>
      </c>
      <c r="D42" s="9">
        <f t="shared" si="21"/>
        <v>63999.147000000004</v>
      </c>
      <c r="E42" s="9">
        <f t="shared" ref="E42:M42" si="22">SUM(E26:E41)</f>
        <v>77529.149730000005</v>
      </c>
      <c r="F42" s="9">
        <f t="shared" si="22"/>
        <v>139987.22917999999</v>
      </c>
      <c r="G42" s="9">
        <f t="shared" si="22"/>
        <v>63605.315240000004</v>
      </c>
      <c r="H42" s="9">
        <f t="shared" si="22"/>
        <v>111495.30866000001</v>
      </c>
      <c r="I42" s="9">
        <f t="shared" si="22"/>
        <v>63244.64662</v>
      </c>
      <c r="J42" s="9">
        <f t="shared" si="22"/>
        <v>118148.05702000001</v>
      </c>
      <c r="K42" s="9">
        <f t="shared" si="22"/>
        <v>84951.704089999999</v>
      </c>
      <c r="L42" s="9">
        <f t="shared" si="22"/>
        <v>70437.024239999999</v>
      </c>
      <c r="M42" s="9">
        <f t="shared" si="22"/>
        <v>82620.990740000008</v>
      </c>
      <c r="N42" s="9">
        <f>SUM(B42:M42)</f>
        <v>1049216.0249100002</v>
      </c>
    </row>
    <row r="43" spans="1:14" ht="23.25" customHeight="1" thickBot="1" x14ac:dyDescent="0.3">
      <c r="A43" s="3" t="s">
        <v>5</v>
      </c>
      <c r="B43" s="17">
        <f t="shared" ref="B43:N43" si="23">B16-B42</f>
        <v>103270.23601999998</v>
      </c>
      <c r="C43" s="17">
        <f t="shared" si="23"/>
        <v>-42681.038410000023</v>
      </c>
      <c r="D43" s="17">
        <f t="shared" si="23"/>
        <v>18003.793000000012</v>
      </c>
      <c r="E43" s="17">
        <f t="shared" si="23"/>
        <v>-7882.3397299999924</v>
      </c>
      <c r="F43" s="17">
        <f t="shared" si="23"/>
        <v>-60479.519180000003</v>
      </c>
      <c r="G43" s="17">
        <f t="shared" si="23"/>
        <v>16396.524759999978</v>
      </c>
      <c r="H43" s="17">
        <f t="shared" si="23"/>
        <v>-59022.718660000013</v>
      </c>
      <c r="I43" s="17">
        <f t="shared" si="23"/>
        <v>22848.183380000002</v>
      </c>
      <c r="J43" s="17">
        <f t="shared" si="23"/>
        <v>-62488.567020000002</v>
      </c>
      <c r="K43" s="17">
        <f t="shared" si="23"/>
        <v>-27062.144090000009</v>
      </c>
      <c r="L43" s="17">
        <f t="shared" si="23"/>
        <v>-14290.664239999998</v>
      </c>
      <c r="M43" s="17">
        <f t="shared" si="23"/>
        <v>9514.8392599999934</v>
      </c>
      <c r="N43" s="17">
        <f t="shared" si="23"/>
        <v>-103873.4149100004</v>
      </c>
    </row>
    <row r="44" spans="1:14" ht="23.25" customHeight="1" thickBot="1" x14ac:dyDescent="0.3">
      <c r="A44" s="3" t="s">
        <v>7</v>
      </c>
      <c r="B44" s="13">
        <f t="shared" ref="B44:N44" si="24">B5+B43</f>
        <v>-841925.4439800001</v>
      </c>
      <c r="C44" s="13">
        <f t="shared" si="24"/>
        <v>-884606.48239000014</v>
      </c>
      <c r="D44" s="13">
        <f t="shared" si="24"/>
        <v>-866602.68939000007</v>
      </c>
      <c r="E44" s="13">
        <f t="shared" si="24"/>
        <v>-874485.02912000008</v>
      </c>
      <c r="F44" s="13">
        <f t="shared" si="24"/>
        <v>-934964.54830000014</v>
      </c>
      <c r="G44" s="13">
        <f t="shared" si="24"/>
        <v>-918568.0235400002</v>
      </c>
      <c r="H44" s="13">
        <f t="shared" si="24"/>
        <v>-977590.74220000021</v>
      </c>
      <c r="I44" s="13">
        <f t="shared" si="24"/>
        <v>-954742.55882000015</v>
      </c>
      <c r="J44" s="13">
        <f t="shared" si="24"/>
        <v>-1017231.1258400001</v>
      </c>
      <c r="K44" s="13">
        <f t="shared" si="24"/>
        <v>-1044293.2699300001</v>
      </c>
      <c r="L44" s="13">
        <f t="shared" si="24"/>
        <v>-1058583.93417</v>
      </c>
      <c r="M44" s="13">
        <f t="shared" si="24"/>
        <v>-1049069.09491</v>
      </c>
      <c r="N44" s="13">
        <f t="shared" si="24"/>
        <v>-1049069.0949100005</v>
      </c>
    </row>
    <row r="45" spans="1:14" ht="23.25" customHeight="1" thickBot="1" x14ac:dyDescent="0.3">
      <c r="A45" s="3" t="s">
        <v>46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5229.99</v>
      </c>
      <c r="M45" s="10">
        <v>0</v>
      </c>
      <c r="N45" s="10">
        <f>SUM(B45:M45)</f>
        <v>5229.99</v>
      </c>
    </row>
    <row r="46" spans="1:14" ht="27" customHeight="1" thickBot="1" x14ac:dyDescent="0.3">
      <c r="A46" s="14" t="s">
        <v>11</v>
      </c>
      <c r="B46" s="18">
        <f t="shared" ref="B46:K46" si="25">B6+B16-B7</f>
        <v>-696709.02999999991</v>
      </c>
      <c r="C46" s="18">
        <f t="shared" si="25"/>
        <v>-719746.53999999992</v>
      </c>
      <c r="D46" s="18">
        <f t="shared" si="25"/>
        <v>-727134.69999999984</v>
      </c>
      <c r="E46" s="18">
        <f t="shared" si="25"/>
        <v>-745174.79999999981</v>
      </c>
      <c r="F46" s="18">
        <f t="shared" si="25"/>
        <v>-753337.34999999986</v>
      </c>
      <c r="G46" s="18">
        <f t="shared" si="25"/>
        <v>-760923.69</v>
      </c>
      <c r="H46" s="18">
        <f t="shared" si="25"/>
        <v>-808148.62</v>
      </c>
      <c r="I46" s="18">
        <f t="shared" si="25"/>
        <v>-820331.63</v>
      </c>
      <c r="J46" s="18">
        <f t="shared" si="25"/>
        <v>-862947.98</v>
      </c>
      <c r="K46" s="18">
        <f t="shared" si="25"/>
        <v>-911296.65</v>
      </c>
      <c r="L46" s="18">
        <f>L6-L7+L16+L45</f>
        <v>-951133.58000000007</v>
      </c>
      <c r="M46" s="18">
        <f t="shared" ref="M46:N46" si="26">M6-M7+M16+M45</f>
        <v>-958492.03000000014</v>
      </c>
      <c r="N46" s="18">
        <f t="shared" si="26"/>
        <v>-958492.03000000014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2025-03-12T07:59:58Z</cp:lastPrinted>
  <dcterms:created xsi:type="dcterms:W3CDTF">2011-06-06T03:25:48Z</dcterms:created>
  <dcterms:modified xsi:type="dcterms:W3CDTF">2025-03-12T08:10:18Z</dcterms:modified>
</cp:coreProperties>
</file>