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7496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1" i="1" l="1"/>
  <c r="M20" i="1"/>
  <c r="M11" i="1"/>
  <c r="L21" i="1"/>
  <c r="L12" i="1"/>
  <c r="L11" i="1"/>
  <c r="K21" i="1"/>
  <c r="K12" i="1"/>
  <c r="L39" i="1" l="1"/>
  <c r="M39" i="1" l="1"/>
  <c r="K39" i="1" l="1"/>
  <c r="M36" i="1" l="1"/>
  <c r="L36" i="1"/>
  <c r="K36" i="1"/>
  <c r="M28" i="1" l="1"/>
  <c r="M16" i="1"/>
  <c r="M27" i="1"/>
  <c r="M7" i="1"/>
  <c r="N43" i="1"/>
  <c r="L27" i="1" l="1"/>
  <c r="L7" i="1"/>
  <c r="L28" i="1" l="1"/>
  <c r="L16" i="1"/>
  <c r="L6" i="1"/>
  <c r="K28" i="1" l="1"/>
  <c r="K16" i="1"/>
  <c r="K27" i="1"/>
  <c r="K7" i="1"/>
  <c r="K34" i="1" l="1"/>
  <c r="L34" i="1"/>
  <c r="M34" i="1"/>
  <c r="K29" i="1"/>
  <c r="L29" i="1"/>
  <c r="M29" i="1"/>
  <c r="K26" i="1"/>
  <c r="L26" i="1"/>
  <c r="M26" i="1"/>
  <c r="K25" i="1"/>
  <c r="L25" i="1"/>
  <c r="M25" i="1"/>
  <c r="J21" i="1" l="1"/>
  <c r="J12" i="1"/>
  <c r="I12" i="1"/>
  <c r="H21" i="1"/>
  <c r="H20" i="1"/>
  <c r="H9" i="1"/>
  <c r="H12" i="1"/>
  <c r="H11" i="1"/>
  <c r="I39" i="1" l="1"/>
  <c r="J36" i="1" l="1"/>
  <c r="I36" i="1"/>
  <c r="H36" i="1"/>
  <c r="J28" i="1" l="1"/>
  <c r="J16" i="1"/>
  <c r="J27" i="1"/>
  <c r="J7" i="1"/>
  <c r="H39" i="1" l="1"/>
  <c r="I28" i="1" l="1"/>
  <c r="I16" i="1"/>
  <c r="I27" i="1"/>
  <c r="I7" i="1"/>
  <c r="H28" i="1" l="1"/>
  <c r="H16" i="1"/>
  <c r="H27" i="1"/>
  <c r="H6" i="1"/>
  <c r="H7" i="1"/>
  <c r="H34" i="1"/>
  <c r="I34" i="1"/>
  <c r="J34" i="1"/>
  <c r="H29" i="1" l="1"/>
  <c r="I29" i="1"/>
  <c r="J29" i="1"/>
  <c r="H26" i="1"/>
  <c r="I26" i="1"/>
  <c r="J26" i="1"/>
  <c r="H25" i="1"/>
  <c r="I25" i="1"/>
  <c r="J25" i="1"/>
  <c r="G21" i="1" l="1"/>
  <c r="G20" i="1"/>
  <c r="G12" i="1"/>
  <c r="G11" i="1"/>
  <c r="F21" i="1"/>
  <c r="F20" i="1"/>
  <c r="F12" i="1"/>
  <c r="F11" i="1"/>
  <c r="E20" i="1"/>
  <c r="E21" i="1"/>
  <c r="E11" i="1"/>
  <c r="E12" i="1"/>
  <c r="G30" i="1" l="1"/>
  <c r="G36" i="1" l="1"/>
  <c r="F36" i="1"/>
  <c r="E36" i="1"/>
  <c r="F39" i="1" l="1"/>
  <c r="G28" i="1" l="1"/>
  <c r="G16" i="1"/>
  <c r="G27" i="1"/>
  <c r="G7" i="1"/>
  <c r="F28" i="1" l="1"/>
  <c r="F16" i="1"/>
  <c r="F27" i="1"/>
  <c r="F7" i="1"/>
  <c r="E28" i="1" l="1"/>
  <c r="E16" i="1"/>
  <c r="E27" i="1"/>
  <c r="E7" i="1"/>
  <c r="E39" i="1" l="1"/>
  <c r="E34" i="1" l="1"/>
  <c r="F34" i="1"/>
  <c r="G34" i="1"/>
  <c r="E29" i="1"/>
  <c r="F29" i="1"/>
  <c r="G29" i="1"/>
  <c r="E26" i="1"/>
  <c r="F26" i="1"/>
  <c r="G26" i="1"/>
  <c r="E25" i="1"/>
  <c r="F25" i="1"/>
  <c r="G25" i="1"/>
  <c r="D36" i="1" l="1"/>
  <c r="C36" i="1"/>
  <c r="C27" i="1" l="1"/>
  <c r="D39" i="1" l="1"/>
  <c r="D21" i="1" l="1"/>
  <c r="D11" i="1"/>
  <c r="D12" i="1"/>
  <c r="C20" i="1"/>
  <c r="C21" i="1"/>
  <c r="C12" i="1"/>
  <c r="B21" i="1"/>
  <c r="B11" i="1"/>
  <c r="B12" i="1"/>
  <c r="N36" i="1" l="1"/>
  <c r="D28" i="1" l="1"/>
  <c r="D16" i="1"/>
  <c r="D27" i="1"/>
  <c r="D7" i="1"/>
  <c r="B39" i="1" l="1"/>
  <c r="C28" i="1" l="1"/>
  <c r="C16" i="1"/>
  <c r="C7" i="1"/>
  <c r="B28" i="1" l="1"/>
  <c r="B16" i="1"/>
  <c r="B27" i="1"/>
  <c r="B7" i="1"/>
  <c r="C34" i="1"/>
  <c r="D34" i="1"/>
  <c r="C29" i="1"/>
  <c r="D29" i="1"/>
  <c r="C26" i="1"/>
  <c r="D26" i="1"/>
  <c r="C25" i="1"/>
  <c r="D25" i="1"/>
  <c r="B34" i="1" l="1"/>
  <c r="B29" i="1"/>
  <c r="B26" i="1"/>
  <c r="B25" i="1"/>
  <c r="N5" i="1" l="1"/>
  <c r="N4" i="1"/>
  <c r="C6" i="1" l="1"/>
  <c r="D6" i="1"/>
  <c r="E6" i="1"/>
  <c r="F6" i="1"/>
  <c r="G6" i="1"/>
  <c r="I6" i="1"/>
  <c r="J6" i="1"/>
  <c r="K6" i="1"/>
  <c r="M6" i="1"/>
  <c r="B6" i="1"/>
  <c r="C15" i="1"/>
  <c r="D15" i="1"/>
  <c r="E15" i="1"/>
  <c r="F15" i="1"/>
  <c r="G15" i="1"/>
  <c r="H15" i="1"/>
  <c r="I15" i="1"/>
  <c r="J15" i="1"/>
  <c r="K15" i="1"/>
  <c r="L15" i="1"/>
  <c r="M15" i="1"/>
  <c r="B15" i="1"/>
  <c r="C40" i="1"/>
  <c r="D40" i="1"/>
  <c r="E40" i="1"/>
  <c r="F40" i="1"/>
  <c r="G40" i="1"/>
  <c r="H40" i="1"/>
  <c r="I40" i="1"/>
  <c r="J40" i="1"/>
  <c r="K40" i="1"/>
  <c r="L40" i="1"/>
  <c r="M40" i="1"/>
  <c r="B40" i="1"/>
  <c r="N39" i="1"/>
  <c r="N38" i="1"/>
  <c r="N37" i="1"/>
  <c r="N35" i="1"/>
  <c r="N34" i="1"/>
  <c r="N33" i="1"/>
  <c r="N32" i="1"/>
  <c r="N31" i="1"/>
  <c r="N30" i="1"/>
  <c r="N29" i="1"/>
  <c r="N28" i="1"/>
  <c r="N27" i="1"/>
  <c r="N26" i="1"/>
  <c r="N25" i="1"/>
  <c r="N23" i="1"/>
  <c r="N22" i="1"/>
  <c r="N21" i="1"/>
  <c r="N20" i="1"/>
  <c r="N19" i="1"/>
  <c r="N18" i="1"/>
  <c r="N17" i="1"/>
  <c r="N16" i="1"/>
  <c r="N14" i="1"/>
  <c r="N13" i="1"/>
  <c r="N12" i="1"/>
  <c r="N11" i="1"/>
  <c r="N10" i="1"/>
  <c r="N8" i="1"/>
  <c r="N7" i="1"/>
  <c r="J41" i="1" l="1"/>
  <c r="I41" i="1"/>
  <c r="F41" i="1"/>
  <c r="N40" i="1"/>
  <c r="H41" i="1"/>
  <c r="D41" i="1"/>
  <c r="E41" i="1"/>
  <c r="G41" i="1"/>
  <c r="C41" i="1"/>
  <c r="M41" i="1"/>
  <c r="L41" i="1"/>
  <c r="K41" i="1"/>
  <c r="N6" i="1"/>
  <c r="N15" i="1"/>
  <c r="B41" i="1"/>
  <c r="N44" i="1" l="1"/>
  <c r="N41" i="1"/>
  <c r="N42" i="1" s="1"/>
  <c r="N9" i="1" l="1"/>
  <c r="B44" i="1" l="1"/>
  <c r="C5" i="1" s="1"/>
  <c r="C44" i="1" s="1"/>
  <c r="D5" i="1" s="1"/>
  <c r="D44" i="1" s="1"/>
  <c r="E5" i="1" l="1"/>
  <c r="E44" i="1" s="1"/>
  <c r="F5" i="1" l="1"/>
  <c r="B42" i="1"/>
  <c r="C4" i="1" s="1"/>
  <c r="C42" i="1" s="1"/>
  <c r="D4" i="1" s="1"/>
  <c r="D42" i="1" s="1"/>
  <c r="E4" i="1" s="1"/>
  <c r="E42" i="1" s="1"/>
  <c r="F4" i="1" s="1"/>
  <c r="F42" i="1" s="1"/>
  <c r="G4" i="1" s="1"/>
  <c r="G42" i="1" s="1"/>
  <c r="H4" i="1" s="1"/>
  <c r="H42" i="1" s="1"/>
  <c r="I4" i="1" s="1"/>
  <c r="I42" i="1" s="1"/>
  <c r="J4" i="1" s="1"/>
  <c r="J42" i="1" s="1"/>
  <c r="K4" i="1" s="1"/>
  <c r="K42" i="1" s="1"/>
  <c r="L4" i="1" s="1"/>
  <c r="L42" i="1" s="1"/>
  <c r="M4" i="1" s="1"/>
  <c r="M42" i="1" s="1"/>
  <c r="F44" i="1" l="1"/>
  <c r="G5" i="1" s="1"/>
  <c r="G44" i="1" s="1"/>
  <c r="H5" i="1" s="1"/>
  <c r="H44" i="1" s="1"/>
  <c r="I5" i="1" l="1"/>
  <c r="I44" i="1" s="1"/>
  <c r="J5" i="1" l="1"/>
  <c r="J44" i="1" s="1"/>
  <c r="K5" i="1" l="1"/>
  <c r="K44" i="1" s="1"/>
  <c r="L5" i="1" l="1"/>
  <c r="L44" i="1" s="1"/>
  <c r="M5" i="1" l="1"/>
  <c r="M44" i="1" s="1"/>
</calcChain>
</file>

<file path=xl/sharedStrings.xml><?xml version="1.0" encoding="utf-8"?>
<sst xmlns="http://schemas.openxmlformats.org/spreadsheetml/2006/main" count="56" uniqueCount="47">
  <si>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</si>
  <si>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</si>
  <si>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</si>
  <si>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</si>
  <si>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</si>
  <si>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</si>
  <si>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</si>
  <si>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</si>
  <si>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</si>
  <si>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</si>
  <si>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</si>
  <si>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</si>
  <si>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</si>
  <si>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</si>
  <si>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</si>
  <si>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</si>
  <si>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</si>
  <si>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</si>
  <si>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</si>
  <si>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</si>
  <si>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</si>
  <si>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</si>
  <si>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</si>
  <si>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</si>
  <si>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</si>
  <si>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</si>
  <si>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</si>
  <si>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Средства на счете дома на начало периода</t>
  </si>
  <si>
    <t xml:space="preserve">Содержание жилья и текущий ремонт, ОПУ 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</si>
  <si>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</si>
  <si>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</si>
  <si>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</si>
  <si>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</si>
  <si>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</si>
  <si>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</si>
  <si>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</si>
  <si>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</si>
  <si>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</si>
  <si>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</si>
  <si>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2024г.</t>
  </si>
  <si>
    <t>Ноябрь 2024г.</t>
  </si>
  <si>
    <t>Декабрь 2024г.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</si>
  <si>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</si>
  <si>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</si>
  <si>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</si>
  <si>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Васильева, 3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</si>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</sst>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1" fillId="5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4" fontId="8" fillId="5" borderId="4" xfId="0" applyNumberFormat="1" applyFont="1" applyFill="1" applyBorder="1" applyAlignment="1">
      <alignment horizontal="left"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topLeftCell="C31" zoomScale="75" workbookViewId="0">
      <selection activeCell="A34" sqref="A1:H1048576"/>
    </sheetView>
  </sheetViews>
  <sheetFormatPr defaultRowHeight="13.2" x14ac:dyDescent="0.25"/>
  <cols>
    <col min="1" max="1" width="58.6640625" customWidth="1"/>
    <col min="2" max="2" width="16" customWidth="1"/>
    <col min="3" max="3" width="16.44140625" customWidth="1"/>
    <col min="4" max="5" width="16.109375" customWidth="1"/>
    <col min="6" max="6" width="15.5546875" customWidth="1"/>
    <col min="7" max="7" width="16" customWidth="1"/>
    <col min="8" max="8" width="15.6640625" customWidth="1"/>
    <col min="9" max="9" width="15.88671875" customWidth="1"/>
    <col min="10" max="10" width="15.6640625" customWidth="1"/>
    <col min="11" max="11" width="17.77734375" customWidth="1"/>
    <col min="12" max="13" width="15.6640625" customWidth="1"/>
    <col min="14" max="14" width="19.33203125" customWidth="1"/>
  </cols>
  <sheetData>
    <row r="1" spans="1:15" ht="21" customHeight="1" x14ac:dyDescent="0.35">
      <c r="A1" s="25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 ht="6.6" customHeight="1" thickBot="1" x14ac:dyDescent="0.3">
      <c r="A2" s="1"/>
    </row>
    <row r="3" spans="1:15" ht="36" customHeight="1" thickBot="1" x14ac:dyDescent="0.3">
      <c r="A3" s="2" t="s">
        <v>0</v>
      </c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</row>
    <row r="4" spans="1:15" s="12" customFormat="1" ht="21" customHeight="1" thickBot="1" x14ac:dyDescent="0.3">
      <c r="A4" s="11" t="s">
        <v>27</v>
      </c>
      <c r="B4" s="14">
        <v>-764412.28</v>
      </c>
      <c r="C4" s="14">
        <f>B42</f>
        <v>-744361.86146000004</v>
      </c>
      <c r="D4" s="14">
        <f t="shared" ref="D4:M4" si="0">C42</f>
        <v>-715684.63983</v>
      </c>
      <c r="E4" s="14">
        <f t="shared" si="0"/>
        <v>-729564.30217000004</v>
      </c>
      <c r="F4" s="14">
        <f t="shared" si="0"/>
        <v>-741432.17791000009</v>
      </c>
      <c r="G4" s="14">
        <f t="shared" si="0"/>
        <v>-729427.1563400001</v>
      </c>
      <c r="H4" s="14">
        <f t="shared" si="0"/>
        <v>-708954.53354000009</v>
      </c>
      <c r="I4" s="14">
        <f t="shared" si="0"/>
        <v>-705467.27068000007</v>
      </c>
      <c r="J4" s="14">
        <f t="shared" si="0"/>
        <v>-751320.67838000006</v>
      </c>
      <c r="K4" s="14">
        <f t="shared" si="0"/>
        <v>-712245.51399000001</v>
      </c>
      <c r="L4" s="14">
        <f t="shared" si="0"/>
        <v>-710313.17079999996</v>
      </c>
      <c r="M4" s="14">
        <f t="shared" si="0"/>
        <v>-732357.40409999993</v>
      </c>
      <c r="N4" s="14">
        <f>B4</f>
        <v>-764412.28</v>
      </c>
      <c r="O4" s="13"/>
    </row>
    <row r="5" spans="1:15" ht="21.6" customHeight="1" thickBot="1" x14ac:dyDescent="0.3">
      <c r="A5" s="4" t="s">
        <v>13</v>
      </c>
      <c r="B5" s="15">
        <v>-319303.67999999999</v>
      </c>
      <c r="C5" s="15">
        <f t="shared" ref="C5:D5" si="1">B44</f>
        <v>-338260.28</v>
      </c>
      <c r="D5" s="15">
        <f t="shared" si="1"/>
        <v>-329231.60000000003</v>
      </c>
      <c r="E5" s="15">
        <f t="shared" ref="E5:G5" si="2">D44</f>
        <v>-340761.54000000004</v>
      </c>
      <c r="F5" s="15">
        <f t="shared" si="2"/>
        <v>-354428.45000000007</v>
      </c>
      <c r="G5" s="15">
        <f t="shared" si="2"/>
        <v>-359103.85000000009</v>
      </c>
      <c r="H5" s="15">
        <f t="shared" ref="H5" si="3">G44</f>
        <v>-363751.67000000016</v>
      </c>
      <c r="I5" s="15">
        <f t="shared" ref="I5" si="4">H44</f>
        <v>-377802.40000000014</v>
      </c>
      <c r="J5" s="15">
        <f t="shared" ref="J5" si="5">I44</f>
        <v>-381096.18000000017</v>
      </c>
      <c r="K5" s="15">
        <f>J44</f>
        <v>-366828.11000000022</v>
      </c>
      <c r="L5" s="15">
        <f t="shared" ref="L5:M5" si="6">K44</f>
        <v>-370254.00000000023</v>
      </c>
      <c r="M5" s="15">
        <f t="shared" si="6"/>
        <v>-365772.7100000002</v>
      </c>
      <c r="N5" s="15">
        <f>B5</f>
        <v>-319303.67999999999</v>
      </c>
    </row>
    <row r="6" spans="1:15" ht="21" customHeight="1" thickBot="1" x14ac:dyDescent="0.3">
      <c r="A6" s="5" t="s">
        <v>12</v>
      </c>
      <c r="B6" s="16">
        <f>SUM(B7:B14)</f>
        <v>94252.85</v>
      </c>
      <c r="C6" s="16">
        <f t="shared" ref="C6:M6" si="7">SUM(C7:C14)</f>
        <v>85512.170000000013</v>
      </c>
      <c r="D6" s="16">
        <f t="shared" si="7"/>
        <v>89210.209999999992</v>
      </c>
      <c r="E6" s="16">
        <f t="shared" si="7"/>
        <v>89210.209999999992</v>
      </c>
      <c r="F6" s="16">
        <f t="shared" si="7"/>
        <v>88889.110000000015</v>
      </c>
      <c r="G6" s="16">
        <f t="shared" si="7"/>
        <v>93263.49000000002</v>
      </c>
      <c r="H6" s="16">
        <f>SUM(H7:H14)</f>
        <v>92712.739999999991</v>
      </c>
      <c r="I6" s="16">
        <f t="shared" si="7"/>
        <v>85671.12</v>
      </c>
      <c r="J6" s="16">
        <f t="shared" si="7"/>
        <v>85585.290000000008</v>
      </c>
      <c r="K6" s="16">
        <f t="shared" si="7"/>
        <v>85585.290000000008</v>
      </c>
      <c r="L6" s="16">
        <f>SUM(L7:L14)</f>
        <v>93839.760000000009</v>
      </c>
      <c r="M6" s="16">
        <f t="shared" si="7"/>
        <v>87928.09</v>
      </c>
      <c r="N6" s="16">
        <f>SUM(B6:M6)</f>
        <v>1071660.33</v>
      </c>
    </row>
    <row r="7" spans="1:15" ht="20.25" customHeight="1" thickBot="1" x14ac:dyDescent="0.3">
      <c r="A7" s="10" t="s">
        <v>28</v>
      </c>
      <c r="B7" s="17">
        <f t="shared" ref="B7:G7" si="8">70816.41+1413.64</f>
        <v>72230.05</v>
      </c>
      <c r="C7" s="17">
        <f t="shared" si="8"/>
        <v>72230.05</v>
      </c>
      <c r="D7" s="17">
        <f t="shared" si="8"/>
        <v>72230.05</v>
      </c>
      <c r="E7" s="17">
        <f t="shared" si="8"/>
        <v>72230.05</v>
      </c>
      <c r="F7" s="17">
        <f t="shared" si="8"/>
        <v>72230.05</v>
      </c>
      <c r="G7" s="17">
        <f t="shared" si="8"/>
        <v>72230.05</v>
      </c>
      <c r="H7" s="17">
        <f>70816.41+1413.64</f>
        <v>72230.05</v>
      </c>
      <c r="I7" s="17">
        <f>70816.41+85.83+1413.64</f>
        <v>72315.88</v>
      </c>
      <c r="J7" s="17">
        <f>70816.41+1413.64</f>
        <v>72230.05</v>
      </c>
      <c r="K7" s="17">
        <f>70816.41+1413.64</f>
        <v>72230.05</v>
      </c>
      <c r="L7" s="17">
        <f>70816.41+1413.64</f>
        <v>72230.05</v>
      </c>
      <c r="M7" s="17">
        <f>70816.41+1413.64</f>
        <v>72230.05</v>
      </c>
      <c r="N7" s="17">
        <f>SUM(B7:M7)</f>
        <v>866846.43000000017</v>
      </c>
    </row>
    <row r="8" spans="1:15" ht="24.75" customHeight="1" thickBot="1" x14ac:dyDescent="0.3">
      <c r="A8" s="10" t="s">
        <v>16</v>
      </c>
      <c r="B8" s="17">
        <v>3511.58</v>
      </c>
      <c r="C8" s="17">
        <v>3511.58</v>
      </c>
      <c r="D8" s="17">
        <v>3511.58</v>
      </c>
      <c r="E8" s="17">
        <v>3511.58</v>
      </c>
      <c r="F8" s="17">
        <v>3511.58</v>
      </c>
      <c r="G8" s="17">
        <v>3511.58</v>
      </c>
      <c r="H8" s="17">
        <v>3511.58</v>
      </c>
      <c r="I8" s="17">
        <v>3511.58</v>
      </c>
      <c r="J8" s="17">
        <v>3511.58</v>
      </c>
      <c r="K8" s="17">
        <v>3511.58</v>
      </c>
      <c r="L8" s="17">
        <v>3511.58</v>
      </c>
      <c r="M8" s="17">
        <v>3511.58</v>
      </c>
      <c r="N8" s="17">
        <f>SUM(B8:M8)</f>
        <v>42138.960000000014</v>
      </c>
    </row>
    <row r="9" spans="1:15" ht="24.75" customHeight="1" thickBot="1" x14ac:dyDescent="0.3">
      <c r="A9" s="10" t="s">
        <v>17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f>3097.62+153.55</f>
        <v>3251.17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f t="shared" ref="N9" si="9">SUM(B9:M9)</f>
        <v>3251.17</v>
      </c>
    </row>
    <row r="10" spans="1:15" ht="24.75" customHeight="1" thickBot="1" x14ac:dyDescent="0.3">
      <c r="A10" s="10" t="s">
        <v>18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f t="shared" ref="N10:N23" si="10">SUM(B10:M10)</f>
        <v>0</v>
      </c>
    </row>
    <row r="11" spans="1:15" ht="24.75" customHeight="1" thickBot="1" x14ac:dyDescent="0.3">
      <c r="A11" s="10" t="s">
        <v>19</v>
      </c>
      <c r="B11" s="17">
        <f>8328.43+412.24</f>
        <v>8740.67</v>
      </c>
      <c r="C11" s="17">
        <v>0</v>
      </c>
      <c r="D11" s="17">
        <f>3522.79+175.25</f>
        <v>3698.04</v>
      </c>
      <c r="E11" s="17">
        <f>3522.79+175.25</f>
        <v>3698.04</v>
      </c>
      <c r="F11" s="17">
        <f>3216.72+160.22</f>
        <v>3376.9399999999996</v>
      </c>
      <c r="G11" s="17">
        <f>7385.81+365.51</f>
        <v>7751.3200000000006</v>
      </c>
      <c r="H11" s="17">
        <f>3692.69+183.59</f>
        <v>3876.28</v>
      </c>
      <c r="I11" s="17">
        <v>0</v>
      </c>
      <c r="J11" s="17">
        <v>0</v>
      </c>
      <c r="K11" s="17">
        <v>0</v>
      </c>
      <c r="L11" s="17">
        <f>8110.2+402.23</f>
        <v>8512.43</v>
      </c>
      <c r="M11" s="17">
        <f>4513.33+223.65</f>
        <v>4736.9799999999996</v>
      </c>
      <c r="N11" s="17">
        <f t="shared" si="10"/>
        <v>44390.7</v>
      </c>
    </row>
    <row r="12" spans="1:15" ht="24.75" customHeight="1" thickBot="1" x14ac:dyDescent="0.3">
      <c r="A12" s="10" t="s">
        <v>26</v>
      </c>
      <c r="B12" s="17">
        <f>448.41+21.71</f>
        <v>470.12</v>
      </c>
      <c r="C12" s="17">
        <f>448.41+21.7</f>
        <v>470.11</v>
      </c>
      <c r="D12" s="17">
        <f>448.41+21.7</f>
        <v>470.11</v>
      </c>
      <c r="E12" s="17">
        <f>448.41+21.7</f>
        <v>470.11</v>
      </c>
      <c r="F12" s="17">
        <f>448.41+21.7</f>
        <v>470.11</v>
      </c>
      <c r="G12" s="17">
        <f>448.41+21.7</f>
        <v>470.11</v>
      </c>
      <c r="H12" s="17">
        <f>518.19+25.04</f>
        <v>543.23</v>
      </c>
      <c r="I12" s="17">
        <f>518.19+25.04</f>
        <v>543.23</v>
      </c>
      <c r="J12" s="17">
        <f>518.19+25.04</f>
        <v>543.23</v>
      </c>
      <c r="K12" s="17">
        <f>518.19+25.04</f>
        <v>543.23</v>
      </c>
      <c r="L12" s="17">
        <f>271.92+13.35</f>
        <v>285.27000000000004</v>
      </c>
      <c r="M12" s="17">
        <v>-1850.95</v>
      </c>
      <c r="N12" s="17">
        <f t="shared" si="10"/>
        <v>3427.9100000000008</v>
      </c>
    </row>
    <row r="13" spans="1:15" ht="24.75" customHeight="1" thickBot="1" x14ac:dyDescent="0.3">
      <c r="A13" s="10" t="s">
        <v>43</v>
      </c>
      <c r="B13" s="17">
        <v>8130.43</v>
      </c>
      <c r="C13" s="17">
        <v>8130.43</v>
      </c>
      <c r="D13" s="17">
        <v>8130.43</v>
      </c>
      <c r="E13" s="17">
        <v>8130.43</v>
      </c>
      <c r="F13" s="17">
        <v>8130.43</v>
      </c>
      <c r="G13" s="17">
        <v>8130.43</v>
      </c>
      <c r="H13" s="17">
        <v>8130.43</v>
      </c>
      <c r="I13" s="17">
        <v>8130.43</v>
      </c>
      <c r="J13" s="17">
        <v>8130.43</v>
      </c>
      <c r="K13" s="17">
        <v>8130.43</v>
      </c>
      <c r="L13" s="17">
        <v>8130.43</v>
      </c>
      <c r="M13" s="17">
        <v>8130.43</v>
      </c>
      <c r="N13" s="17">
        <f t="shared" si="10"/>
        <v>97565.159999999974</v>
      </c>
    </row>
    <row r="14" spans="1:15" ht="24.75" customHeight="1" thickBot="1" x14ac:dyDescent="0.3">
      <c r="A14" s="10" t="s">
        <v>15</v>
      </c>
      <c r="B14" s="17">
        <v>1170</v>
      </c>
      <c r="C14" s="17">
        <v>1170</v>
      </c>
      <c r="D14" s="17">
        <v>1170</v>
      </c>
      <c r="E14" s="17">
        <v>1170</v>
      </c>
      <c r="F14" s="17">
        <v>1170</v>
      </c>
      <c r="G14" s="17">
        <v>1170</v>
      </c>
      <c r="H14" s="17">
        <v>1170</v>
      </c>
      <c r="I14" s="17">
        <v>1170</v>
      </c>
      <c r="J14" s="17">
        <v>1170</v>
      </c>
      <c r="K14" s="17">
        <v>1170</v>
      </c>
      <c r="L14" s="17">
        <v>1170</v>
      </c>
      <c r="M14" s="17">
        <v>1170</v>
      </c>
      <c r="N14" s="17">
        <f t="shared" si="10"/>
        <v>14040</v>
      </c>
    </row>
    <row r="15" spans="1:15" ht="24.75" customHeight="1" thickBot="1" x14ac:dyDescent="0.3">
      <c r="A15" s="7" t="s">
        <v>8</v>
      </c>
      <c r="B15" s="18">
        <f>SUM(B16:B23)</f>
        <v>75296.25</v>
      </c>
      <c r="C15" s="18">
        <f t="shared" ref="C15:M15" si="11">SUM(C16:C23)</f>
        <v>94540.85</v>
      </c>
      <c r="D15" s="18">
        <f t="shared" si="11"/>
        <v>77680.26999999999</v>
      </c>
      <c r="E15" s="18">
        <f t="shared" si="11"/>
        <v>75543.3</v>
      </c>
      <c r="F15" s="18">
        <f t="shared" si="11"/>
        <v>84213.709999999992</v>
      </c>
      <c r="G15" s="18">
        <f t="shared" si="11"/>
        <v>88615.669999999984</v>
      </c>
      <c r="H15" s="18">
        <f t="shared" si="11"/>
        <v>78662.009999999995</v>
      </c>
      <c r="I15" s="18">
        <f t="shared" si="11"/>
        <v>82377.34</v>
      </c>
      <c r="J15" s="18">
        <f t="shared" si="11"/>
        <v>99853.36</v>
      </c>
      <c r="K15" s="18">
        <f t="shared" si="11"/>
        <v>82159.399999999994</v>
      </c>
      <c r="L15" s="18">
        <f t="shared" si="11"/>
        <v>87498.27</v>
      </c>
      <c r="M15" s="18">
        <f t="shared" si="11"/>
        <v>91676.01999999999</v>
      </c>
      <c r="N15" s="18">
        <f t="shared" si="10"/>
        <v>1018116.45</v>
      </c>
    </row>
    <row r="16" spans="1:15" ht="25.2" customHeight="1" thickBot="1" x14ac:dyDescent="0.3">
      <c r="A16" s="10" t="s">
        <v>29</v>
      </c>
      <c r="B16" s="17">
        <f>60760.78+1218.56</f>
        <v>61979.34</v>
      </c>
      <c r="C16" s="17">
        <f>72639.71+1382.16</f>
        <v>74021.87000000001</v>
      </c>
      <c r="D16" s="17">
        <f>64542.03+1226.53</f>
        <v>65768.56</v>
      </c>
      <c r="E16" s="17">
        <f>59832.08+1194.43</f>
        <v>61026.51</v>
      </c>
      <c r="F16" s="17">
        <f>67612.5+1295.88</f>
        <v>68908.38</v>
      </c>
      <c r="G16" s="17">
        <f>71006.25+1286.54</f>
        <v>72292.789999999994</v>
      </c>
      <c r="H16" s="17">
        <f>59548+1171.01</f>
        <v>60719.01</v>
      </c>
      <c r="I16" s="17">
        <f>65878.91+1221.75</f>
        <v>67100.66</v>
      </c>
      <c r="J16" s="17">
        <f>82152.91+1667.64</f>
        <v>83820.55</v>
      </c>
      <c r="K16" s="17">
        <f>68003.15+1300.84</f>
        <v>69303.989999999991</v>
      </c>
      <c r="L16" s="17">
        <f>72436.47+1960.43</f>
        <v>74396.899999999994</v>
      </c>
      <c r="M16" s="17">
        <f>69372.18+1344.98</f>
        <v>70717.159999999989</v>
      </c>
      <c r="N16" s="17">
        <f t="shared" si="10"/>
        <v>830055.72000000009</v>
      </c>
    </row>
    <row r="17" spans="1:15" ht="24" customHeight="1" thickBot="1" x14ac:dyDescent="0.3">
      <c r="A17" s="10" t="s">
        <v>16</v>
      </c>
      <c r="B17" s="17">
        <v>3511.58</v>
      </c>
      <c r="C17" s="17">
        <v>3511.58</v>
      </c>
      <c r="D17" s="17">
        <v>3511.58</v>
      </c>
      <c r="E17" s="17">
        <v>3511.58</v>
      </c>
      <c r="F17" s="17">
        <v>3511.58</v>
      </c>
      <c r="G17" s="17">
        <v>3511.58</v>
      </c>
      <c r="H17" s="17">
        <v>3511.58</v>
      </c>
      <c r="I17" s="17">
        <v>0</v>
      </c>
      <c r="J17" s="17">
        <v>3511.58</v>
      </c>
      <c r="K17" s="17">
        <v>3511.58</v>
      </c>
      <c r="L17" s="17">
        <v>3511.58</v>
      </c>
      <c r="M17" s="17">
        <v>3511.58</v>
      </c>
      <c r="N17" s="17">
        <f t="shared" si="10"/>
        <v>38627.380000000012</v>
      </c>
    </row>
    <row r="18" spans="1:15" ht="26.25" customHeight="1" thickBot="1" x14ac:dyDescent="0.3">
      <c r="A18" s="10" t="s">
        <v>17</v>
      </c>
      <c r="B18" s="17">
        <v>7.9</v>
      </c>
      <c r="C18" s="17">
        <v>82.47</v>
      </c>
      <c r="D18" s="17">
        <v>65.92</v>
      </c>
      <c r="E18" s="17">
        <v>0</v>
      </c>
      <c r="F18" s="17">
        <v>45.09</v>
      </c>
      <c r="G18" s="17">
        <v>69.03</v>
      </c>
      <c r="H18" s="17">
        <v>0</v>
      </c>
      <c r="I18" s="17">
        <v>2518.41</v>
      </c>
      <c r="J18" s="17">
        <v>417.64</v>
      </c>
      <c r="K18" s="17">
        <v>45.35</v>
      </c>
      <c r="L18" s="17">
        <v>73.36</v>
      </c>
      <c r="M18" s="17">
        <v>0</v>
      </c>
      <c r="N18" s="17">
        <f t="shared" si="10"/>
        <v>3325.1699999999996</v>
      </c>
    </row>
    <row r="19" spans="1:15" ht="26.25" customHeight="1" thickBot="1" x14ac:dyDescent="0.3">
      <c r="A19" s="10" t="s">
        <v>18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f t="shared" si="10"/>
        <v>0</v>
      </c>
    </row>
    <row r="20" spans="1:15" ht="26.25" customHeight="1" thickBot="1" x14ac:dyDescent="0.3">
      <c r="A20" s="10" t="s">
        <v>19</v>
      </c>
      <c r="B20" s="17">
        <v>133.26</v>
      </c>
      <c r="C20" s="17">
        <f>7533.48+412.24</f>
        <v>7945.7199999999993</v>
      </c>
      <c r="D20" s="17">
        <v>251.68</v>
      </c>
      <c r="E20" s="17">
        <f>2877.84+175.25</f>
        <v>3053.09</v>
      </c>
      <c r="F20" s="17">
        <f>3243.15+175.25</f>
        <v>3418.4</v>
      </c>
      <c r="G20" s="17">
        <f>3187.68+160.22</f>
        <v>3347.8999999999996</v>
      </c>
      <c r="H20" s="17">
        <f>6042.12+365.51</f>
        <v>6407.63</v>
      </c>
      <c r="I20" s="17">
        <v>3567.56</v>
      </c>
      <c r="J20" s="17">
        <v>1299.6099999999999</v>
      </c>
      <c r="K20" s="17">
        <v>98.27</v>
      </c>
      <c r="L20" s="17">
        <v>330.6</v>
      </c>
      <c r="M20" s="17">
        <f>7272.63+402.23</f>
        <v>7674.8600000000006</v>
      </c>
      <c r="N20" s="17">
        <f t="shared" si="10"/>
        <v>37528.58</v>
      </c>
    </row>
    <row r="21" spans="1:15" ht="26.25" customHeight="1" thickBot="1" x14ac:dyDescent="0.3">
      <c r="A21" s="10" t="s">
        <v>26</v>
      </c>
      <c r="B21" s="17">
        <f>384.71+21.7</f>
        <v>406.40999999999997</v>
      </c>
      <c r="C21" s="17">
        <f>459.33+21.7</f>
        <v>481.03</v>
      </c>
      <c r="D21" s="17">
        <f>408.66+21.7</f>
        <v>430.36</v>
      </c>
      <c r="E21" s="17">
        <f>378.84+21.7</f>
        <v>400.53999999999996</v>
      </c>
      <c r="F21" s="17">
        <f>428.03+21.7</f>
        <v>449.72999999999996</v>
      </c>
      <c r="G21" s="17">
        <f>448.94+21.7</f>
        <v>470.64</v>
      </c>
      <c r="H21" s="17">
        <f>377.08+21.7</f>
        <v>398.78</v>
      </c>
      <c r="I21" s="17">
        <v>472.56</v>
      </c>
      <c r="J21" s="17">
        <f>587.07+25.04</f>
        <v>612.11</v>
      </c>
      <c r="K21" s="17">
        <f>495.05+25.04</f>
        <v>520.09</v>
      </c>
      <c r="L21" s="17">
        <f>524.77+25.04</f>
        <v>549.80999999999995</v>
      </c>
      <c r="M21" s="17">
        <f>267.77+13.35</f>
        <v>281.12</v>
      </c>
      <c r="N21" s="17">
        <f t="shared" si="10"/>
        <v>5473.1799999999994</v>
      </c>
    </row>
    <row r="22" spans="1:15" ht="26.25" customHeight="1" thickBot="1" x14ac:dyDescent="0.3">
      <c r="A22" s="10" t="s">
        <v>43</v>
      </c>
      <c r="B22" s="17">
        <v>6757.76</v>
      </c>
      <c r="C22" s="17">
        <v>7598.18</v>
      </c>
      <c r="D22" s="17">
        <v>6752.17</v>
      </c>
      <c r="E22" s="17">
        <v>6651.58</v>
      </c>
      <c r="F22" s="17">
        <v>6980.53</v>
      </c>
      <c r="G22" s="17">
        <v>8023.73</v>
      </c>
      <c r="H22" s="17">
        <v>6325.01</v>
      </c>
      <c r="I22" s="17">
        <v>6768.15</v>
      </c>
      <c r="J22" s="17">
        <v>9291.8700000000008</v>
      </c>
      <c r="K22" s="17">
        <v>7180.12</v>
      </c>
      <c r="L22" s="17">
        <v>7736.02</v>
      </c>
      <c r="M22" s="17">
        <v>7391.3</v>
      </c>
      <c r="N22" s="17">
        <f t="shared" si="10"/>
        <v>87456.420000000013</v>
      </c>
    </row>
    <row r="23" spans="1:15" ht="26.25" customHeight="1" thickBot="1" x14ac:dyDescent="0.3">
      <c r="A23" s="10" t="s">
        <v>15</v>
      </c>
      <c r="B23" s="19">
        <v>2500</v>
      </c>
      <c r="C23" s="19">
        <v>900</v>
      </c>
      <c r="D23" s="19">
        <v>900</v>
      </c>
      <c r="E23" s="19">
        <v>900</v>
      </c>
      <c r="F23" s="19">
        <v>900</v>
      </c>
      <c r="G23" s="19">
        <v>900</v>
      </c>
      <c r="H23" s="19">
        <v>1300</v>
      </c>
      <c r="I23" s="19">
        <v>1950</v>
      </c>
      <c r="J23" s="19">
        <v>900</v>
      </c>
      <c r="K23" s="17">
        <v>1500</v>
      </c>
      <c r="L23" s="17">
        <v>900</v>
      </c>
      <c r="M23" s="17">
        <v>2100</v>
      </c>
      <c r="N23" s="17">
        <f t="shared" si="10"/>
        <v>15650</v>
      </c>
    </row>
    <row r="24" spans="1:15" ht="26.25" customHeight="1" thickBot="1" x14ac:dyDescent="0.3">
      <c r="A24" s="8" t="s">
        <v>24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9"/>
    </row>
    <row r="25" spans="1:15" ht="21.75" customHeight="1" thickBot="1" x14ac:dyDescent="0.3">
      <c r="A25" s="10" t="s">
        <v>1</v>
      </c>
      <c r="B25" s="17">
        <f t="shared" ref="B25:M25" si="12">3532.7*0.6</f>
        <v>2119.62</v>
      </c>
      <c r="C25" s="17">
        <f t="shared" si="12"/>
        <v>2119.62</v>
      </c>
      <c r="D25" s="17">
        <f t="shared" si="12"/>
        <v>2119.62</v>
      </c>
      <c r="E25" s="17">
        <f t="shared" si="12"/>
        <v>2119.62</v>
      </c>
      <c r="F25" s="17">
        <f t="shared" si="12"/>
        <v>2119.62</v>
      </c>
      <c r="G25" s="17">
        <f t="shared" si="12"/>
        <v>2119.62</v>
      </c>
      <c r="H25" s="17">
        <f t="shared" si="12"/>
        <v>2119.62</v>
      </c>
      <c r="I25" s="17">
        <f t="shared" si="12"/>
        <v>2119.62</v>
      </c>
      <c r="J25" s="17">
        <f t="shared" si="12"/>
        <v>2119.62</v>
      </c>
      <c r="K25" s="17">
        <f t="shared" si="12"/>
        <v>2119.62</v>
      </c>
      <c r="L25" s="17">
        <f t="shared" si="12"/>
        <v>2119.62</v>
      </c>
      <c r="M25" s="17">
        <f t="shared" si="12"/>
        <v>2119.62</v>
      </c>
      <c r="N25" s="17">
        <f t="shared" ref="N25:N39" si="13">SUM(B25:M25)</f>
        <v>25435.439999999991</v>
      </c>
    </row>
    <row r="26" spans="1:15" ht="19.5" customHeight="1" thickBot="1" x14ac:dyDescent="0.3">
      <c r="A26" s="10" t="s">
        <v>2</v>
      </c>
      <c r="B26" s="17">
        <f t="shared" ref="B26:M26" si="14">3532.7*0.17</f>
        <v>600.55899999999997</v>
      </c>
      <c r="C26" s="17">
        <f t="shared" si="14"/>
        <v>600.55899999999997</v>
      </c>
      <c r="D26" s="17">
        <f t="shared" si="14"/>
        <v>600.55899999999997</v>
      </c>
      <c r="E26" s="17">
        <f t="shared" si="14"/>
        <v>600.55899999999997</v>
      </c>
      <c r="F26" s="17">
        <f t="shared" si="14"/>
        <v>600.55899999999997</v>
      </c>
      <c r="G26" s="17">
        <f t="shared" si="14"/>
        <v>600.55899999999997</v>
      </c>
      <c r="H26" s="17">
        <f t="shared" si="14"/>
        <v>600.55899999999997</v>
      </c>
      <c r="I26" s="17">
        <f t="shared" si="14"/>
        <v>600.55899999999997</v>
      </c>
      <c r="J26" s="17">
        <f t="shared" si="14"/>
        <v>600.55899999999997</v>
      </c>
      <c r="K26" s="17">
        <f t="shared" si="14"/>
        <v>600.55899999999997</v>
      </c>
      <c r="L26" s="17">
        <f t="shared" si="14"/>
        <v>600.55899999999997</v>
      </c>
      <c r="M26" s="17">
        <f t="shared" si="14"/>
        <v>600.55899999999997</v>
      </c>
      <c r="N26" s="17">
        <f t="shared" si="13"/>
        <v>7206.7080000000014</v>
      </c>
    </row>
    <row r="27" spans="1:15" ht="22.5" customHeight="1" thickBot="1" x14ac:dyDescent="0.3">
      <c r="A27" s="10" t="s">
        <v>3</v>
      </c>
      <c r="B27" s="17">
        <f>89137.32*2.3%</f>
        <v>2050.1583599999999</v>
      </c>
      <c r="C27" s="17">
        <f>80808.89*2.3%</f>
        <v>1858.60447</v>
      </c>
      <c r="D27" s="17">
        <f>84331.68*2.3%</f>
        <v>1939.6286399999999</v>
      </c>
      <c r="E27" s="17">
        <f>84331.68*2.3%</f>
        <v>1939.6286399999999</v>
      </c>
      <c r="F27" s="17">
        <f>84025.61*2.3%</f>
        <v>1932.5890300000001</v>
      </c>
      <c r="G27" s="17">
        <f>88194.7*2.3%</f>
        <v>2028.4780999999998</v>
      </c>
      <c r="H27" s="17">
        <f>87668.98*2.3%</f>
        <v>2016.38654</v>
      </c>
      <c r="I27" s="17">
        <f>80964.5*2.3%</f>
        <v>1862.1834999999999</v>
      </c>
      <c r="J27" s="17">
        <f>80878.67*2.3%</f>
        <v>1860.2094099999999</v>
      </c>
      <c r="K27" s="17">
        <f>80878.67*2.3%</f>
        <v>1860.2094099999999</v>
      </c>
      <c r="L27" s="17">
        <f>88742.6*2.3%</f>
        <v>2041.0798000000002</v>
      </c>
      <c r="M27" s="17">
        <f>83022.86*2.3%</f>
        <v>1909.5257799999999</v>
      </c>
      <c r="N27" s="17">
        <f t="shared" si="13"/>
        <v>23298.681679999998</v>
      </c>
    </row>
    <row r="28" spans="1:15" ht="21" customHeight="1" thickBot="1" x14ac:dyDescent="0.3">
      <c r="A28" s="10" t="s">
        <v>4</v>
      </c>
      <c r="B28" s="17">
        <f>69262.97*3%</f>
        <v>2077.8890999999999</v>
      </c>
      <c r="C28" s="17">
        <f>89695.33*3%</f>
        <v>2690.8598999999999</v>
      </c>
      <c r="D28" s="17">
        <f>73246.99*3%</f>
        <v>2197.4097000000002</v>
      </c>
      <c r="E28" s="17">
        <f>70934.77*3%</f>
        <v>2128.0430999999999</v>
      </c>
      <c r="F28" s="17">
        <f>79605.18*3%</f>
        <v>2388.1553999999996</v>
      </c>
      <c r="G28" s="17">
        <f>84022.17*3%</f>
        <v>2520.6650999999997</v>
      </c>
      <c r="H28" s="17">
        <f>73463.22*3%</f>
        <v>2203.8966</v>
      </c>
      <c r="I28" s="17">
        <f>80427.34*3%</f>
        <v>2412.8201999999997</v>
      </c>
      <c r="J28" s="17">
        <f>95416.74*3%</f>
        <v>2862.5021999999999</v>
      </c>
      <c r="K28" s="17">
        <f>77122.78*3%</f>
        <v>2313.6833999999999</v>
      </c>
      <c r="L28" s="17">
        <f>83061.65*3%</f>
        <v>2491.8494999999998</v>
      </c>
      <c r="M28" s="17">
        <f>85648.86*3%</f>
        <v>2569.4657999999999</v>
      </c>
      <c r="N28" s="17">
        <f t="shared" si="13"/>
        <v>28857.239999999998</v>
      </c>
    </row>
    <row r="29" spans="1:15" ht="23.25" customHeight="1" thickBot="1" x14ac:dyDescent="0.3">
      <c r="A29" s="10" t="s">
        <v>9</v>
      </c>
      <c r="B29" s="22">
        <f t="shared" ref="B29:M29" si="15">3532.7*9.7</f>
        <v>34267.189999999995</v>
      </c>
      <c r="C29" s="22">
        <f t="shared" si="15"/>
        <v>34267.189999999995</v>
      </c>
      <c r="D29" s="22">
        <f t="shared" si="15"/>
        <v>34267.189999999995</v>
      </c>
      <c r="E29" s="22">
        <f t="shared" si="15"/>
        <v>34267.189999999995</v>
      </c>
      <c r="F29" s="22">
        <f t="shared" si="15"/>
        <v>34267.189999999995</v>
      </c>
      <c r="G29" s="22">
        <f t="shared" si="15"/>
        <v>34267.189999999995</v>
      </c>
      <c r="H29" s="22">
        <f t="shared" si="15"/>
        <v>34267.189999999995</v>
      </c>
      <c r="I29" s="22">
        <f t="shared" si="15"/>
        <v>34267.189999999995</v>
      </c>
      <c r="J29" s="22">
        <f t="shared" si="15"/>
        <v>34267.189999999995</v>
      </c>
      <c r="K29" s="22">
        <f t="shared" si="15"/>
        <v>34267.189999999995</v>
      </c>
      <c r="L29" s="22">
        <f t="shared" si="15"/>
        <v>34267.189999999995</v>
      </c>
      <c r="M29" s="22">
        <f t="shared" si="15"/>
        <v>34267.189999999995</v>
      </c>
      <c r="N29" s="17">
        <f t="shared" si="13"/>
        <v>411206.27999999997</v>
      </c>
    </row>
    <row r="30" spans="1:15" ht="23.25" customHeight="1" thickBot="1" x14ac:dyDescent="0.3">
      <c r="A30" s="10" t="s">
        <v>20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f>2884.29+366.91</f>
        <v>3251.2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f t="shared" si="13"/>
        <v>3251.2</v>
      </c>
    </row>
    <row r="31" spans="1:15" ht="21.6" customHeight="1" thickBot="1" x14ac:dyDescent="0.3">
      <c r="A31" s="10" t="s">
        <v>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f t="shared" si="13"/>
        <v>0</v>
      </c>
    </row>
    <row r="32" spans="1:15" ht="21" customHeight="1" thickBot="1" x14ac:dyDescent="0.3">
      <c r="A32" s="10" t="s">
        <v>22</v>
      </c>
      <c r="B32" s="17">
        <v>0</v>
      </c>
      <c r="C32" s="17">
        <v>3697.5</v>
      </c>
      <c r="D32" s="17">
        <v>3697.5</v>
      </c>
      <c r="E32" s="17">
        <v>3376.2</v>
      </c>
      <c r="F32" s="17">
        <v>7751.98</v>
      </c>
      <c r="G32" s="17">
        <v>3875.99</v>
      </c>
      <c r="H32" s="17">
        <v>0</v>
      </c>
      <c r="I32" s="17">
        <v>0</v>
      </c>
      <c r="J32" s="17">
        <v>0</v>
      </c>
      <c r="K32" s="17">
        <v>8512.36</v>
      </c>
      <c r="L32" s="17">
        <v>4737.12</v>
      </c>
      <c r="M32" s="17">
        <v>3397.17</v>
      </c>
      <c r="N32" s="17">
        <f t="shared" si="13"/>
        <v>39045.82</v>
      </c>
    </row>
    <row r="33" spans="1:14" ht="21" customHeight="1" thickBot="1" x14ac:dyDescent="0.3">
      <c r="A33" s="10" t="s">
        <v>26</v>
      </c>
      <c r="B33" s="17">
        <v>470.81</v>
      </c>
      <c r="C33" s="17">
        <v>470.81</v>
      </c>
      <c r="D33" s="17">
        <v>470.81</v>
      </c>
      <c r="E33" s="17">
        <v>470.81</v>
      </c>
      <c r="F33" s="17">
        <v>470.81</v>
      </c>
      <c r="G33" s="17">
        <v>470.81</v>
      </c>
      <c r="H33" s="17">
        <v>271.95999999999998</v>
      </c>
      <c r="I33" s="17">
        <v>271.95999999999998</v>
      </c>
      <c r="J33" s="17">
        <v>271.95999999999998</v>
      </c>
      <c r="K33" s="17">
        <v>271.95999999999998</v>
      </c>
      <c r="L33" s="17">
        <v>271.95999999999998</v>
      </c>
      <c r="M33" s="17">
        <v>271.95999999999998</v>
      </c>
      <c r="N33" s="17">
        <f t="shared" si="13"/>
        <v>4456.62</v>
      </c>
    </row>
    <row r="34" spans="1:14" ht="20.399999999999999" customHeight="1" thickBot="1" x14ac:dyDescent="0.3">
      <c r="A34" s="10" t="s">
        <v>6</v>
      </c>
      <c r="B34" s="17">
        <f t="shared" ref="B34:M34" si="16">3532.7*3.15</f>
        <v>11128.004999999999</v>
      </c>
      <c r="C34" s="17">
        <f t="shared" si="16"/>
        <v>11128.004999999999</v>
      </c>
      <c r="D34" s="17">
        <f t="shared" si="16"/>
        <v>11128.004999999999</v>
      </c>
      <c r="E34" s="17">
        <f t="shared" si="16"/>
        <v>11128.004999999999</v>
      </c>
      <c r="F34" s="17">
        <f t="shared" si="16"/>
        <v>11128.004999999999</v>
      </c>
      <c r="G34" s="17">
        <f t="shared" si="16"/>
        <v>11128.004999999999</v>
      </c>
      <c r="H34" s="17">
        <f t="shared" si="16"/>
        <v>11128.004999999999</v>
      </c>
      <c r="I34" s="17">
        <f t="shared" si="16"/>
        <v>11128.004999999999</v>
      </c>
      <c r="J34" s="17">
        <f t="shared" si="16"/>
        <v>11128.004999999999</v>
      </c>
      <c r="K34" s="17">
        <f t="shared" si="16"/>
        <v>11128.004999999999</v>
      </c>
      <c r="L34" s="17">
        <f t="shared" si="16"/>
        <v>11128.004999999999</v>
      </c>
      <c r="M34" s="17">
        <f t="shared" si="16"/>
        <v>11128.004999999999</v>
      </c>
      <c r="N34" s="17">
        <f t="shared" si="13"/>
        <v>133536.06000000003</v>
      </c>
    </row>
    <row r="35" spans="1:14" ht="21" customHeight="1" thickBot="1" x14ac:dyDescent="0.3">
      <c r="A35" s="10" t="s">
        <v>43</v>
      </c>
      <c r="B35" s="22">
        <v>0</v>
      </c>
      <c r="C35" s="22">
        <v>4634.34</v>
      </c>
      <c r="D35" s="22">
        <v>4330.7299999999996</v>
      </c>
      <c r="E35" s="17">
        <v>3848.52</v>
      </c>
      <c r="F35" s="17">
        <v>3792.11</v>
      </c>
      <c r="G35" s="17">
        <v>3978.37</v>
      </c>
      <c r="H35" s="22">
        <v>4573.6099999999997</v>
      </c>
      <c r="I35" s="17">
        <v>3605.51</v>
      </c>
      <c r="J35" s="22">
        <v>3857.7</v>
      </c>
      <c r="K35" s="22">
        <v>5296.31</v>
      </c>
      <c r="L35" s="22">
        <v>4093.08</v>
      </c>
      <c r="M35" s="22">
        <v>4409.21</v>
      </c>
      <c r="N35" s="17">
        <f t="shared" si="13"/>
        <v>46419.490000000005</v>
      </c>
    </row>
    <row r="36" spans="1:14" ht="21" customHeight="1" thickBot="1" x14ac:dyDescent="0.3">
      <c r="A36" s="10" t="s">
        <v>44</v>
      </c>
      <c r="B36" s="22">
        <v>0</v>
      </c>
      <c r="C36" s="22">
        <f>2439.14+1057</f>
        <v>3496.14</v>
      </c>
      <c r="D36" s="22">
        <f>2279.45+988</f>
        <v>3267.45</v>
      </c>
      <c r="E36" s="17">
        <f>878+2025.65</f>
        <v>2903.65</v>
      </c>
      <c r="F36" s="17">
        <f>864+1995.47</f>
        <v>2859.4700000000003</v>
      </c>
      <c r="G36" s="17">
        <f>908+2094.16</f>
        <v>3002.16</v>
      </c>
      <c r="H36" s="22">
        <f>1043+2407.12</f>
        <v>3450.12</v>
      </c>
      <c r="I36" s="17">
        <f>822+1897.5</f>
        <v>2719.5</v>
      </c>
      <c r="J36" s="22">
        <f>880+2030.45</f>
        <v>2910.45</v>
      </c>
      <c r="K36" s="22">
        <f>1208+2787.56</f>
        <v>3995.56</v>
      </c>
      <c r="L36" s="22">
        <f>933+2154.04</f>
        <v>3087.04</v>
      </c>
      <c r="M36" s="22">
        <f>1006+2320.81</f>
        <v>3326.81</v>
      </c>
      <c r="N36" s="17">
        <f t="shared" si="13"/>
        <v>35018.35</v>
      </c>
    </row>
    <row r="37" spans="1:14" ht="21" customHeight="1" thickBot="1" x14ac:dyDescent="0.3">
      <c r="A37" s="10" t="s">
        <v>25</v>
      </c>
      <c r="B37" s="17">
        <v>900</v>
      </c>
      <c r="C37" s="17">
        <v>900</v>
      </c>
      <c r="D37" s="17">
        <v>900</v>
      </c>
      <c r="E37" s="17">
        <v>900</v>
      </c>
      <c r="F37" s="17">
        <v>900</v>
      </c>
      <c r="G37" s="17">
        <v>900</v>
      </c>
      <c r="H37" s="17">
        <v>900</v>
      </c>
      <c r="I37" s="17">
        <v>900</v>
      </c>
      <c r="J37" s="17">
        <v>900</v>
      </c>
      <c r="K37" s="17">
        <v>900</v>
      </c>
      <c r="L37" s="17">
        <v>900</v>
      </c>
      <c r="M37" s="17">
        <v>900</v>
      </c>
      <c r="N37" s="17">
        <f t="shared" si="13"/>
        <v>10800</v>
      </c>
    </row>
    <row r="38" spans="1:14" ht="22.8" customHeight="1" thickBot="1" x14ac:dyDescent="0.3">
      <c r="A38" s="10" t="s">
        <v>14</v>
      </c>
      <c r="B38" s="17">
        <v>0</v>
      </c>
      <c r="C38" s="17">
        <v>0</v>
      </c>
      <c r="D38" s="17">
        <v>0</v>
      </c>
      <c r="E38" s="17">
        <v>20204.349999999999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f t="shared" si="13"/>
        <v>20204.349999999999</v>
      </c>
    </row>
    <row r="39" spans="1:14" ht="23.4" customHeight="1" thickBot="1" x14ac:dyDescent="0.3">
      <c r="A39" s="10" t="s">
        <v>10</v>
      </c>
      <c r="B39" s="17">
        <f>1526.6+105</f>
        <v>1631.6</v>
      </c>
      <c r="C39" s="17">
        <v>0</v>
      </c>
      <c r="D39" s="17">
        <f>105+26536.03</f>
        <v>26641.03</v>
      </c>
      <c r="E39" s="17">
        <f>3524.6</f>
        <v>3524.6</v>
      </c>
      <c r="F39" s="17">
        <f>3198.2+800</f>
        <v>3998.2</v>
      </c>
      <c r="G39" s="17">
        <v>0</v>
      </c>
      <c r="H39" s="17">
        <f>870.7+12772.7</f>
        <v>13643.400000000001</v>
      </c>
      <c r="I39" s="17">
        <f>15000+13500+8098.5+17447.1+14297.8</f>
        <v>68343.399999999994</v>
      </c>
      <c r="J39" s="17">
        <v>0</v>
      </c>
      <c r="K39" s="17">
        <f>210+1526.6+7225</f>
        <v>8961.6</v>
      </c>
      <c r="L39" s="17">
        <f>1397.9+2599.5+20278+19529.6</f>
        <v>43805</v>
      </c>
      <c r="M39" s="17">
        <f>2000</f>
        <v>2000</v>
      </c>
      <c r="N39" s="17">
        <f t="shared" si="13"/>
        <v>172548.83</v>
      </c>
    </row>
    <row r="40" spans="1:14" ht="24" customHeight="1" thickBot="1" x14ac:dyDescent="0.3">
      <c r="A40" s="5" t="s">
        <v>23</v>
      </c>
      <c r="B40" s="16">
        <f t="shared" ref="B40:M40" si="17">SUM(B25:B39)</f>
        <v>55245.831459999987</v>
      </c>
      <c r="C40" s="16">
        <f t="shared" si="17"/>
        <v>65863.628369999991</v>
      </c>
      <c r="D40" s="16">
        <f t="shared" si="17"/>
        <v>91559.932339999985</v>
      </c>
      <c r="E40" s="16">
        <f t="shared" si="17"/>
        <v>87411.175739999991</v>
      </c>
      <c r="F40" s="16">
        <f t="shared" si="17"/>
        <v>72208.68842999998</v>
      </c>
      <c r="G40" s="16">
        <f t="shared" si="17"/>
        <v>68143.047199999986</v>
      </c>
      <c r="H40" s="16">
        <f t="shared" si="17"/>
        <v>75174.747139999992</v>
      </c>
      <c r="I40" s="16">
        <f t="shared" si="17"/>
        <v>128230.74769999998</v>
      </c>
      <c r="J40" s="16">
        <f t="shared" si="17"/>
        <v>60778.195609999988</v>
      </c>
      <c r="K40" s="16">
        <f t="shared" si="17"/>
        <v>80227.056809999995</v>
      </c>
      <c r="L40" s="16">
        <f t="shared" si="17"/>
        <v>109542.5033</v>
      </c>
      <c r="M40" s="16">
        <f t="shared" si="17"/>
        <v>66899.515579999977</v>
      </c>
      <c r="N40" s="16">
        <f>SUM(B40:M40)</f>
        <v>961285.06967999972</v>
      </c>
    </row>
    <row r="41" spans="1:14" ht="22.5" customHeight="1" thickBot="1" x14ac:dyDescent="0.3">
      <c r="A41" s="6" t="s">
        <v>5</v>
      </c>
      <c r="B41" s="17">
        <f t="shared" ref="B41:N41" si="18">B15-B40</f>
        <v>20050.418540000013</v>
      </c>
      <c r="C41" s="17">
        <f t="shared" si="18"/>
        <v>28677.221630000015</v>
      </c>
      <c r="D41" s="17">
        <f t="shared" si="18"/>
        <v>-13879.662339999995</v>
      </c>
      <c r="E41" s="17">
        <f t="shared" si="18"/>
        <v>-11867.875739999989</v>
      </c>
      <c r="F41" s="17">
        <f t="shared" si="18"/>
        <v>12005.021570000012</v>
      </c>
      <c r="G41" s="17">
        <f t="shared" si="18"/>
        <v>20472.622799999997</v>
      </c>
      <c r="H41" s="17">
        <f t="shared" si="18"/>
        <v>3487.2628600000025</v>
      </c>
      <c r="I41" s="17">
        <f t="shared" si="18"/>
        <v>-45853.407699999982</v>
      </c>
      <c r="J41" s="17">
        <f t="shared" si="18"/>
        <v>39075.164390000013</v>
      </c>
      <c r="K41" s="17">
        <f t="shared" si="18"/>
        <v>1932.3431899999996</v>
      </c>
      <c r="L41" s="17">
        <f t="shared" si="18"/>
        <v>-22044.233299999993</v>
      </c>
      <c r="M41" s="17">
        <f t="shared" si="18"/>
        <v>24776.504420000012</v>
      </c>
      <c r="N41" s="17">
        <f t="shared" si="18"/>
        <v>56831.380320000229</v>
      </c>
    </row>
    <row r="42" spans="1:14" ht="23.25" customHeight="1" thickBot="1" x14ac:dyDescent="0.3">
      <c r="A42" s="6" t="s">
        <v>7</v>
      </c>
      <c r="B42" s="23">
        <f t="shared" ref="B42:N42" si="19">B4+B41</f>
        <v>-744361.86146000004</v>
      </c>
      <c r="C42" s="23">
        <f t="shared" si="19"/>
        <v>-715684.63983</v>
      </c>
      <c r="D42" s="23">
        <f t="shared" si="19"/>
        <v>-729564.30217000004</v>
      </c>
      <c r="E42" s="23">
        <f t="shared" si="19"/>
        <v>-741432.17791000009</v>
      </c>
      <c r="F42" s="23">
        <f t="shared" si="19"/>
        <v>-729427.1563400001</v>
      </c>
      <c r="G42" s="23">
        <f t="shared" si="19"/>
        <v>-708954.53354000009</v>
      </c>
      <c r="H42" s="23">
        <f t="shared" si="19"/>
        <v>-705467.27068000007</v>
      </c>
      <c r="I42" s="23">
        <f t="shared" si="19"/>
        <v>-751320.67838000006</v>
      </c>
      <c r="J42" s="23">
        <f t="shared" si="19"/>
        <v>-712245.51399000001</v>
      </c>
      <c r="K42" s="23">
        <f t="shared" si="19"/>
        <v>-710313.17079999996</v>
      </c>
      <c r="L42" s="23">
        <f t="shared" si="19"/>
        <v>-732357.40409999993</v>
      </c>
      <c r="M42" s="23">
        <f t="shared" si="19"/>
        <v>-707580.89967999991</v>
      </c>
      <c r="N42" s="23">
        <f t="shared" si="19"/>
        <v>-707580.8996799998</v>
      </c>
    </row>
    <row r="43" spans="1:14" ht="23.25" customHeight="1" thickBot="1" x14ac:dyDescent="0.3">
      <c r="A43" s="6" t="s">
        <v>46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24">
        <v>10822.78</v>
      </c>
      <c r="M43" s="19">
        <v>0</v>
      </c>
      <c r="N43" s="19">
        <f>SUM(B43:M43)</f>
        <v>10822.78</v>
      </c>
    </row>
    <row r="44" spans="1:14" ht="23.25" customHeight="1" thickBot="1" x14ac:dyDescent="0.3">
      <c r="A44" s="8" t="s">
        <v>11</v>
      </c>
      <c r="B44" s="21">
        <f>B5+B15-B6</f>
        <v>-338260.28</v>
      </c>
      <c r="C44" s="21">
        <f t="shared" ref="C44:K44" si="20">C5+C15-C6</f>
        <v>-329231.60000000003</v>
      </c>
      <c r="D44" s="21">
        <f t="shared" si="20"/>
        <v>-340761.54000000004</v>
      </c>
      <c r="E44" s="21">
        <f t="shared" si="20"/>
        <v>-354428.45000000007</v>
      </c>
      <c r="F44" s="21">
        <f t="shared" si="20"/>
        <v>-359103.85000000009</v>
      </c>
      <c r="G44" s="21">
        <f t="shared" si="20"/>
        <v>-363751.67000000016</v>
      </c>
      <c r="H44" s="21">
        <f t="shared" si="20"/>
        <v>-377802.40000000014</v>
      </c>
      <c r="I44" s="21">
        <f t="shared" si="20"/>
        <v>-381096.18000000017</v>
      </c>
      <c r="J44" s="21">
        <f t="shared" si="20"/>
        <v>-366828.11000000022</v>
      </c>
      <c r="K44" s="21">
        <f t="shared" si="20"/>
        <v>-370254.00000000023</v>
      </c>
      <c r="L44" s="21">
        <f>L5+L15-L6+L43</f>
        <v>-365772.7100000002</v>
      </c>
      <c r="M44" s="21">
        <f t="shared" ref="M44:N44" si="21">M5+M15-M6+M43</f>
        <v>-362024.78000000014</v>
      </c>
      <c r="N44" s="21">
        <f t="shared" si="21"/>
        <v>-362024.78</v>
      </c>
    </row>
    <row r="45" spans="1:14" ht="27" customHeight="1" x14ac:dyDescent="0.25"/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2025-03-14T04:32:41Z</cp:lastPrinted>
  <dcterms:created xsi:type="dcterms:W3CDTF">2011-06-06T03:25:48Z</dcterms:created>
  <dcterms:modified xsi:type="dcterms:W3CDTF">2025-03-14T04:39:28Z</dcterms:modified>
</cp:coreProperties>
</file>