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N38" i="1" l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23" i="1"/>
  <c r="C38" i="1"/>
  <c r="D38" i="1"/>
  <c r="E38" i="1"/>
  <c r="F38" i="1"/>
  <c r="G38" i="1"/>
  <c r="H38" i="1"/>
  <c r="I38" i="1"/>
  <c r="J38" i="1"/>
  <c r="K38" i="1"/>
  <c r="L38" i="1"/>
  <c r="M38" i="1"/>
  <c r="B38" i="1"/>
  <c r="L37" i="1" l="1"/>
  <c r="K37" i="1" l="1"/>
  <c r="M34" i="1" l="1"/>
  <c r="L34" i="1"/>
  <c r="K34" i="1"/>
  <c r="M28" i="1" l="1"/>
  <c r="L28" i="1"/>
  <c r="K28" i="1"/>
  <c r="F42" i="1"/>
  <c r="M26" i="1" l="1"/>
  <c r="M15" i="1"/>
  <c r="M25" i="1"/>
  <c r="M7" i="1"/>
  <c r="L25" i="1" l="1"/>
  <c r="L7" i="1"/>
  <c r="N41" i="1"/>
  <c r="L26" i="1" l="1"/>
  <c r="L15" i="1"/>
  <c r="K26" i="1" l="1"/>
  <c r="K15" i="1"/>
  <c r="K25" i="1"/>
  <c r="K7" i="1"/>
  <c r="K32" i="1" l="1"/>
  <c r="L32" i="1"/>
  <c r="M32" i="1"/>
  <c r="K27" i="1"/>
  <c r="L27" i="1"/>
  <c r="M27" i="1"/>
  <c r="K24" i="1"/>
  <c r="L24" i="1"/>
  <c r="M24" i="1"/>
  <c r="K23" i="1"/>
  <c r="L23" i="1"/>
  <c r="M23" i="1"/>
  <c r="E42" i="1" l="1"/>
  <c r="J37" i="1" l="1"/>
  <c r="C24" i="1" l="1"/>
  <c r="D24" i="1"/>
  <c r="E24" i="1"/>
  <c r="F24" i="1"/>
  <c r="G24" i="1"/>
  <c r="H24" i="1"/>
  <c r="I24" i="1"/>
  <c r="J24" i="1"/>
  <c r="B24" i="1"/>
  <c r="J28" i="1" l="1"/>
  <c r="H28" i="1"/>
  <c r="I37" i="1" l="1"/>
  <c r="I31" i="1" l="1"/>
  <c r="J34" i="1" l="1"/>
  <c r="I34" i="1"/>
  <c r="H34" i="1"/>
  <c r="J26" i="1" l="1"/>
  <c r="J15" i="1"/>
  <c r="J25" i="1"/>
  <c r="J7" i="1"/>
  <c r="H37" i="1" l="1"/>
  <c r="I26" i="1" l="1"/>
  <c r="I15" i="1"/>
  <c r="I25" i="1"/>
  <c r="I7" i="1"/>
  <c r="H26" i="1" l="1"/>
  <c r="H15" i="1"/>
  <c r="H25" i="1"/>
  <c r="H7" i="1"/>
  <c r="H32" i="1"/>
  <c r="I32" i="1"/>
  <c r="J32" i="1"/>
  <c r="H27" i="1" l="1"/>
  <c r="I27" i="1"/>
  <c r="J27" i="1"/>
  <c r="H23" i="1"/>
  <c r="I23" i="1"/>
  <c r="J23" i="1"/>
  <c r="E7" i="1" l="1"/>
  <c r="G28" i="1"/>
  <c r="F28" i="1"/>
  <c r="G34" i="1" l="1"/>
  <c r="F37" i="1" l="1"/>
  <c r="G26" i="1" l="1"/>
  <c r="G15" i="1"/>
  <c r="G25" i="1"/>
  <c r="G7" i="1"/>
  <c r="F26" i="1" l="1"/>
  <c r="F15" i="1"/>
  <c r="F25" i="1"/>
  <c r="F7" i="1"/>
  <c r="E26" i="1" l="1"/>
  <c r="E15" i="1"/>
  <c r="E25" i="1"/>
  <c r="E37" i="1" l="1"/>
  <c r="E32" i="1" l="1"/>
  <c r="F32" i="1"/>
  <c r="G32" i="1"/>
  <c r="E27" i="1" l="1"/>
  <c r="F27" i="1"/>
  <c r="G27" i="1"/>
  <c r="E23" i="1" l="1"/>
  <c r="F23" i="1"/>
  <c r="G23" i="1"/>
  <c r="N19" i="1" l="1"/>
  <c r="N11" i="1"/>
  <c r="D26" i="1" l="1"/>
  <c r="D15" i="1"/>
  <c r="D25" i="1"/>
  <c r="D7" i="1"/>
  <c r="C26" i="1" l="1"/>
  <c r="C15" i="1"/>
  <c r="C25" i="1"/>
  <c r="C7" i="1"/>
  <c r="B26" i="1" l="1"/>
  <c r="B15" i="1"/>
  <c r="B25" i="1"/>
  <c r="B7" i="1"/>
  <c r="D32" i="1" l="1"/>
  <c r="C32" i="1"/>
  <c r="C27" i="1"/>
  <c r="D27" i="1"/>
  <c r="C23" i="1"/>
  <c r="D23" i="1"/>
  <c r="B32" i="1" l="1"/>
  <c r="B27" i="1"/>
  <c r="B23" i="1"/>
  <c r="N15" i="1" l="1"/>
  <c r="N7" i="1"/>
  <c r="N16" i="1"/>
  <c r="N17" i="1"/>
  <c r="N18" i="1"/>
  <c r="N20" i="1"/>
  <c r="N21" i="1"/>
  <c r="K14" i="1"/>
  <c r="L14" i="1"/>
  <c r="M14" i="1"/>
  <c r="N8" i="1"/>
  <c r="N9" i="1"/>
  <c r="N10" i="1"/>
  <c r="N12" i="1"/>
  <c r="N13" i="1"/>
  <c r="K6" i="1"/>
  <c r="L6" i="1"/>
  <c r="M6" i="1"/>
  <c r="M39" i="1" l="1"/>
  <c r="L39" i="1"/>
  <c r="K39" i="1"/>
  <c r="I14" i="1" l="1"/>
  <c r="H14" i="1"/>
  <c r="J14" i="1"/>
  <c r="J39" i="1" l="1"/>
  <c r="I39" i="1"/>
  <c r="H6" i="1"/>
  <c r="I6" i="1"/>
  <c r="J6" i="1"/>
  <c r="H39" i="1" l="1"/>
  <c r="E14" i="1" l="1"/>
  <c r="E39" i="1" s="1"/>
  <c r="F14" i="1"/>
  <c r="F39" i="1" s="1"/>
  <c r="G14" i="1"/>
  <c r="E6" i="1"/>
  <c r="F6" i="1"/>
  <c r="G6" i="1"/>
  <c r="G39" i="1" l="1"/>
  <c r="N5" i="1"/>
  <c r="N4" i="1"/>
  <c r="B6" i="1"/>
  <c r="B42" i="1" s="1"/>
  <c r="C5" i="1" s="1"/>
  <c r="C42" i="1" s="1"/>
  <c r="D5" i="1" s="1"/>
  <c r="D42" i="1" s="1"/>
  <c r="C6" i="1"/>
  <c r="D6" i="1"/>
  <c r="B14" i="1"/>
  <c r="C14" i="1"/>
  <c r="D14" i="1"/>
  <c r="D39" i="1" l="1"/>
  <c r="C39" i="1"/>
  <c r="N14" i="1"/>
  <c r="N6" i="1"/>
  <c r="N42" i="1" l="1"/>
  <c r="E5" i="1"/>
  <c r="B39" i="1" l="1"/>
  <c r="B40" i="1" s="1"/>
  <c r="N39" i="1"/>
  <c r="N40" i="1" s="1"/>
  <c r="F5" i="1"/>
  <c r="C4" i="1" l="1"/>
  <c r="C40" i="1" s="1"/>
  <c r="D4" i="1" s="1"/>
  <c r="D40" i="1" l="1"/>
  <c r="G5" i="1" l="1"/>
  <c r="G42" i="1" s="1"/>
  <c r="E4" i="1"/>
  <c r="E40" i="1" s="1"/>
  <c r="F4" i="1" l="1"/>
  <c r="F40" i="1" s="1"/>
  <c r="H5" i="1"/>
  <c r="H42" i="1" s="1"/>
  <c r="G4" i="1" l="1"/>
  <c r="G40" i="1" s="1"/>
  <c r="H4" i="1" s="1"/>
  <c r="H40" i="1" s="1"/>
  <c r="I4" i="1" s="1"/>
  <c r="I40" i="1" l="1"/>
  <c r="J4" i="1" s="1"/>
  <c r="I5" i="1" l="1"/>
  <c r="I42" i="1" s="1"/>
  <c r="J40" i="1"/>
  <c r="K4" i="1" s="1"/>
  <c r="J5" i="1" l="1"/>
  <c r="J42" i="1" s="1"/>
  <c r="K40" i="1"/>
  <c r="L4" i="1" s="1"/>
  <c r="K5" i="1" l="1"/>
  <c r="K42" i="1" s="1"/>
  <c r="L40" i="1"/>
  <c r="M4" i="1" s="1"/>
  <c r="M40" i="1" s="1"/>
  <c r="L5" i="1" l="1"/>
  <c r="L42" i="1" s="1"/>
  <c r="M5" i="1" l="1"/>
  <c r="M42" i="1" s="1"/>
</calcChain>
</file>

<file path=xl/sharedStrings.xml><?xml version="1.0" encoding="utf-8"?>
<sst xmlns="http://schemas.openxmlformats.org/spreadsheetml/2006/main" count="57" uniqueCount="48">
  <si>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</si>
  <si>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</si>
  <si>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</si>
  <si>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</si>
  <si>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</si>
  <si>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</si>
  <si>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</si>
  <si>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</si>
  <si>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</si>
  <si>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</si>
  <si>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</si>
  <si>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</si>
  <si>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</si>
  <si>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</si>
  <si>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</si>
  <si>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</si>
  <si>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</si>
  <si>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</si>
  <si>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</si>
  <si>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</si>
  <si>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</si>
  <si>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</si>
  <si>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</si>
  <si>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</si>
  <si>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</si>
  <si>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</si>
  <si>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Содержание жилья и текущий ремонт,  ОПУ</t>
  </si>
  <si>
    <t>Тех.обслуживание узла учета ОДПУ</t>
  </si>
  <si>
    <t>Январь 2024г.</t>
  </si>
  <si>
    <t>Февраль 2024г.</t>
  </si>
  <si>
    <t>Март 2024г.</t>
  </si>
  <si>
    <t>Апрель 2024г</t>
  </si>
  <si>
    <t>Май 2024г</t>
  </si>
  <si>
    <t>Июнь 2024г</t>
  </si>
  <si>
    <t>Июль 2024г</t>
  </si>
  <si>
    <t>Август 2024г</t>
  </si>
  <si>
    <t>Сентябрь 2024г</t>
  </si>
  <si>
    <t>Октябрь 2024г</t>
  </si>
  <si>
    <t>Ноябрь 2024г</t>
  </si>
  <si>
    <t>Декабрь 2024г</t>
  </si>
  <si>
    <t>Всего:                       за  2024г</t>
  </si>
  <si>
    <t>Вознаграждение совета МКД</t>
  </si>
  <si>
    <t>Налоги с вознаграждения совета МКД</t>
  </si>
  <si>
    <t>Корректировка задолженности по решению суда</t>
  </si>
  <si>
    <t>прибавили 0,01</t>
  </si>
  <si>
    <t>из-за формулы</t>
  </si>
  <si>
    <t>услуги пас.служ</t>
  </si>
  <si>
    <t xml:space="preserve">  ОТЧЕТ по дому Васильева, 1 за период 01.01.2024г. по 31.12.2024г.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</si>
</sst>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0" borderId="0" xfId="0" applyBorder="1"/>
    <xf numFmtId="0" fontId="4" fillId="0" borderId="3" xfId="0" applyFont="1" applyBorder="1" applyAlignment="1">
      <alignment vertical="top" wrapText="1"/>
    </xf>
    <xf numFmtId="0" fontId="0" fillId="0" borderId="0" xfId="0" applyFill="1"/>
    <xf numFmtId="0" fontId="4" fillId="0" borderId="3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164" fontId="5" fillId="2" borderId="4" xfId="0" applyNumberFormat="1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vertical="top" wrapText="1"/>
    </xf>
    <xf numFmtId="164" fontId="5" fillId="3" borderId="4" xfId="0" applyNumberFormat="1" applyFont="1" applyFill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 wrapText="1"/>
    </xf>
    <xf numFmtId="0" fontId="5" fillId="4" borderId="3" xfId="0" applyFont="1" applyFill="1" applyBorder="1" applyAlignment="1">
      <alignment vertical="top" wrapText="1"/>
    </xf>
    <xf numFmtId="164" fontId="5" fillId="4" borderId="4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164" fontId="5" fillId="0" borderId="5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4" fillId="0" borderId="4" xfId="0" applyNumberFormat="1" applyFont="1" applyFill="1" applyBorder="1" applyAlignment="1">
      <alignment horizontal="left" vertical="top" wrapText="1"/>
    </xf>
    <xf numFmtId="164" fontId="4" fillId="0" borderId="6" xfId="0" applyNumberFormat="1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0" fillId="5" borderId="0" xfId="0" applyFill="1"/>
    <xf numFmtId="16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tabSelected="1" topLeftCell="D29" zoomScale="75" workbookViewId="0">
      <selection activeCell="N39" sqref="N39"/>
    </sheetView>
  </sheetViews>
  <sheetFormatPr defaultRowHeight="13.2" x14ac:dyDescent="0.25"/>
  <cols>
    <col min="1" max="1" width="58.6640625" customWidth="1"/>
    <col min="2" max="2" width="14.5546875" customWidth="1"/>
    <col min="3" max="4" width="14.6640625" customWidth="1"/>
    <col min="5" max="5" width="14" customWidth="1"/>
    <col min="6" max="6" width="14.88671875" customWidth="1"/>
    <col min="7" max="7" width="15.33203125" customWidth="1"/>
    <col min="8" max="8" width="15.44140625" customWidth="1"/>
    <col min="9" max="9" width="15.33203125" customWidth="1"/>
    <col min="10" max="10" width="15.109375" customWidth="1"/>
    <col min="11" max="11" width="15.88671875" customWidth="1"/>
    <col min="12" max="12" width="15.33203125" customWidth="1"/>
    <col min="13" max="13" width="15.88671875" customWidth="1"/>
    <col min="14" max="14" width="17" customWidth="1"/>
    <col min="17" max="17" width="14.88671875" hidden="1" customWidth="1"/>
  </cols>
  <sheetData>
    <row r="1" spans="1:14" ht="18" thickBot="1" x14ac:dyDescent="0.35">
      <c r="A1" s="24" t="s">
        <v>47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3" hidden="1" customHeight="1" thickBot="1" x14ac:dyDescent="0.3">
      <c r="A2" s="1"/>
    </row>
    <row r="3" spans="1:14" ht="38.25" customHeight="1" thickBot="1" x14ac:dyDescent="0.3">
      <c r="A3" s="6" t="s">
        <v>0</v>
      </c>
      <c r="B3" s="7" t="s">
        <v>28</v>
      </c>
      <c r="C3" s="7" t="s">
        <v>29</v>
      </c>
      <c r="D3" s="7" t="s">
        <v>30</v>
      </c>
      <c r="E3" s="7" t="s">
        <v>31</v>
      </c>
      <c r="F3" s="7" t="s">
        <v>32</v>
      </c>
      <c r="G3" s="7" t="s">
        <v>33</v>
      </c>
      <c r="H3" s="7" t="s">
        <v>34</v>
      </c>
      <c r="I3" s="7" t="s">
        <v>35</v>
      </c>
      <c r="J3" s="7" t="s">
        <v>36</v>
      </c>
      <c r="K3" s="7" t="s">
        <v>37</v>
      </c>
      <c r="L3" s="7" t="s">
        <v>38</v>
      </c>
      <c r="M3" s="7" t="s">
        <v>39</v>
      </c>
      <c r="N3" s="7" t="s">
        <v>40</v>
      </c>
    </row>
    <row r="4" spans="1:14" ht="23.25" customHeight="1" thickBot="1" x14ac:dyDescent="0.3">
      <c r="A4" s="8" t="s">
        <v>16</v>
      </c>
      <c r="B4" s="9">
        <v>-779021.14</v>
      </c>
      <c r="C4" s="9">
        <f t="shared" ref="C4" si="0">B40</f>
        <v>-729851.65381000005</v>
      </c>
      <c r="D4" s="9">
        <f t="shared" ref="D4" si="1">C40</f>
        <v>-697827.52890999999</v>
      </c>
      <c r="E4" s="9">
        <f t="shared" ref="E4" si="2">D40</f>
        <v>-665657.59522000002</v>
      </c>
      <c r="F4" s="9">
        <f t="shared" ref="F4" si="3">E40</f>
        <v>-649870.62091000006</v>
      </c>
      <c r="G4" s="9">
        <f t="shared" ref="G4" si="4">F40</f>
        <v>-623179.93822000001</v>
      </c>
      <c r="H4" s="9">
        <f t="shared" ref="H4" si="5">G40</f>
        <v>-601937.74690000003</v>
      </c>
      <c r="I4" s="9">
        <f t="shared" ref="I4" si="6">H40</f>
        <v>-587444.35955000005</v>
      </c>
      <c r="J4" s="9">
        <f t="shared" ref="J4" si="7">I40</f>
        <v>-576512.44419000007</v>
      </c>
      <c r="K4" s="9">
        <f t="shared" ref="K4" si="8">J40</f>
        <v>-569396.17402999999</v>
      </c>
      <c r="L4" s="9">
        <f t="shared" ref="L4" si="9">K40</f>
        <v>-574959.13954</v>
      </c>
      <c r="M4" s="9">
        <f t="shared" ref="M4" si="10">L40</f>
        <v>-560818.92009000003</v>
      </c>
      <c r="N4" s="9">
        <f>B4</f>
        <v>-779021.14</v>
      </c>
    </row>
    <row r="5" spans="1:14" ht="21" customHeight="1" thickBot="1" x14ac:dyDescent="0.3">
      <c r="A5" s="8" t="s">
        <v>13</v>
      </c>
      <c r="B5" s="9">
        <v>-387145.33</v>
      </c>
      <c r="C5" s="9">
        <f t="shared" ref="C5:M5" si="11">B42</f>
        <v>-369808.13</v>
      </c>
      <c r="D5" s="9">
        <f t="shared" si="11"/>
        <v>-369837.37</v>
      </c>
      <c r="E5" s="9">
        <f t="shared" si="11"/>
        <v>-369716.36</v>
      </c>
      <c r="F5" s="9">
        <f t="shared" si="11"/>
        <v>-361265.77999999997</v>
      </c>
      <c r="G5" s="9">
        <f t="shared" si="11"/>
        <v>-363227.06999999995</v>
      </c>
      <c r="H5" s="9">
        <f t="shared" si="11"/>
        <v>-371293.57999999996</v>
      </c>
      <c r="I5" s="9">
        <f t="shared" si="11"/>
        <v>-380843.46</v>
      </c>
      <c r="J5" s="9">
        <f t="shared" si="11"/>
        <v>-382590.17000000004</v>
      </c>
      <c r="K5" s="9">
        <f t="shared" si="11"/>
        <v>-394373.67000000004</v>
      </c>
      <c r="L5" s="9">
        <f t="shared" si="11"/>
        <v>-399067.04000000004</v>
      </c>
      <c r="M5" s="9">
        <f t="shared" si="11"/>
        <v>-395867.2300000001</v>
      </c>
      <c r="N5" s="9">
        <f>B5</f>
        <v>-387145.33</v>
      </c>
    </row>
    <row r="6" spans="1:14" ht="20.25" customHeight="1" thickBot="1" x14ac:dyDescent="0.3">
      <c r="A6" s="10" t="s">
        <v>12</v>
      </c>
      <c r="B6" s="11">
        <f t="shared" ref="B6:M6" si="12">SUM(B7:B13)</f>
        <v>87931.77</v>
      </c>
      <c r="C6" s="11">
        <f t="shared" si="12"/>
        <v>87691.1</v>
      </c>
      <c r="D6" s="11">
        <f t="shared" si="12"/>
        <v>87691.17</v>
      </c>
      <c r="E6" s="11">
        <f t="shared" si="12"/>
        <v>87691.17</v>
      </c>
      <c r="F6" s="11">
        <f t="shared" si="12"/>
        <v>87691.17</v>
      </c>
      <c r="G6" s="11">
        <f t="shared" si="12"/>
        <v>90825.66</v>
      </c>
      <c r="H6" s="11">
        <f t="shared" si="12"/>
        <v>92410.85000000002</v>
      </c>
      <c r="I6" s="11">
        <f t="shared" si="12"/>
        <v>92540.98000000001</v>
      </c>
      <c r="J6" s="11">
        <f t="shared" si="12"/>
        <v>90522.280000000013</v>
      </c>
      <c r="K6" s="11">
        <f t="shared" si="12"/>
        <v>94081.37000000001</v>
      </c>
      <c r="L6" s="11">
        <f t="shared" si="12"/>
        <v>96802.450000000012</v>
      </c>
      <c r="M6" s="11">
        <f t="shared" si="12"/>
        <v>99601.970000000016</v>
      </c>
      <c r="N6" s="11">
        <f>SUM(B6:M6)</f>
        <v>1095481.94</v>
      </c>
    </row>
    <row r="7" spans="1:14" ht="21" customHeight="1" thickBot="1" x14ac:dyDescent="0.3">
      <c r="A7" s="3" t="s">
        <v>26</v>
      </c>
      <c r="B7" s="12">
        <f t="shared" ref="B7:G7" si="13">79564.11+1461.52</f>
        <v>81025.63</v>
      </c>
      <c r="C7" s="12">
        <f t="shared" si="13"/>
        <v>81025.63</v>
      </c>
      <c r="D7" s="12">
        <f t="shared" si="13"/>
        <v>81025.63</v>
      </c>
      <c r="E7" s="12">
        <f t="shared" si="13"/>
        <v>81025.63</v>
      </c>
      <c r="F7" s="12">
        <f t="shared" si="13"/>
        <v>81025.63</v>
      </c>
      <c r="G7" s="12">
        <f t="shared" si="13"/>
        <v>81025.63</v>
      </c>
      <c r="H7" s="12">
        <f t="shared" ref="H7:M7" si="14">79564.11+1461.52</f>
        <v>81025.63</v>
      </c>
      <c r="I7" s="12">
        <f t="shared" si="14"/>
        <v>81025.63</v>
      </c>
      <c r="J7" s="12">
        <f t="shared" si="14"/>
        <v>81025.63</v>
      </c>
      <c r="K7" s="12">
        <f t="shared" si="14"/>
        <v>81025.63</v>
      </c>
      <c r="L7" s="12">
        <f t="shared" si="14"/>
        <v>81025.63</v>
      </c>
      <c r="M7" s="12">
        <f t="shared" si="14"/>
        <v>81025.63</v>
      </c>
      <c r="N7" s="12">
        <f>SUM(B7:M7)</f>
        <v>972307.56</v>
      </c>
    </row>
    <row r="8" spans="1:14" ht="22.5" customHeight="1" thickBot="1" x14ac:dyDescent="0.3">
      <c r="A8" s="3" t="s">
        <v>17</v>
      </c>
      <c r="B8" s="12">
        <v>240.67</v>
      </c>
      <c r="C8" s="12">
        <v>0</v>
      </c>
      <c r="D8" s="12">
        <v>0</v>
      </c>
      <c r="E8" s="12">
        <v>0</v>
      </c>
      <c r="F8" s="12">
        <v>0</v>
      </c>
      <c r="G8" s="12">
        <v>410.73</v>
      </c>
      <c r="H8" s="12">
        <v>1888.57</v>
      </c>
      <c r="I8" s="12">
        <v>2018.7</v>
      </c>
      <c r="J8" s="12">
        <v>0</v>
      </c>
      <c r="K8" s="12">
        <v>3559.09</v>
      </c>
      <c r="L8" s="12">
        <v>6575.89</v>
      </c>
      <c r="M8" s="12">
        <v>6830.45</v>
      </c>
      <c r="N8" s="12">
        <f t="shared" ref="N8:N13" si="15">SUM(B8:M8)</f>
        <v>21524.100000000002</v>
      </c>
    </row>
    <row r="9" spans="1:14" ht="21.75" customHeight="1" thickBot="1" x14ac:dyDescent="0.3">
      <c r="A9" s="3" t="s">
        <v>18</v>
      </c>
      <c r="B9" s="12">
        <v>265.27</v>
      </c>
      <c r="C9" s="12">
        <v>265.27</v>
      </c>
      <c r="D9" s="12">
        <v>265.33999999999997</v>
      </c>
      <c r="E9" s="12">
        <v>265.33999999999997</v>
      </c>
      <c r="F9" s="12">
        <v>265.33999999999997</v>
      </c>
      <c r="G9" s="12">
        <v>265.33999999999997</v>
      </c>
      <c r="H9" s="12">
        <v>293.13</v>
      </c>
      <c r="I9" s="12">
        <v>293.13</v>
      </c>
      <c r="J9" s="12">
        <v>293.13</v>
      </c>
      <c r="K9" s="12">
        <v>293.13</v>
      </c>
      <c r="L9" s="12">
        <v>293.13</v>
      </c>
      <c r="M9" s="12">
        <v>293.13</v>
      </c>
      <c r="N9" s="12">
        <f t="shared" si="15"/>
        <v>3350.6800000000003</v>
      </c>
    </row>
    <row r="10" spans="1:14" ht="21.75" customHeight="1" thickBot="1" x14ac:dyDescent="0.3">
      <c r="A10" s="3" t="s">
        <v>19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f t="shared" si="15"/>
        <v>0</v>
      </c>
    </row>
    <row r="11" spans="1:14" ht="21.75" customHeight="1" thickBot="1" x14ac:dyDescent="0.3">
      <c r="A11" s="3" t="s">
        <v>25</v>
      </c>
      <c r="B11" s="12">
        <v>511.8</v>
      </c>
      <c r="C11" s="12">
        <v>511.8</v>
      </c>
      <c r="D11" s="12">
        <v>511.8</v>
      </c>
      <c r="E11" s="12">
        <v>511.8</v>
      </c>
      <c r="F11" s="12">
        <v>511.8</v>
      </c>
      <c r="G11" s="12">
        <v>511.8</v>
      </c>
      <c r="H11" s="12">
        <v>591.36</v>
      </c>
      <c r="I11" s="12">
        <v>591.36</v>
      </c>
      <c r="J11" s="12">
        <v>591.36</v>
      </c>
      <c r="K11" s="12">
        <v>591.36</v>
      </c>
      <c r="L11" s="12">
        <v>295.64</v>
      </c>
      <c r="M11" s="12">
        <v>2840.6</v>
      </c>
      <c r="N11" s="12">
        <f t="shared" ref="N11" si="16">SUM(B11:M11)</f>
        <v>8572.48</v>
      </c>
    </row>
    <row r="12" spans="1:14" ht="21.75" customHeight="1" thickBot="1" x14ac:dyDescent="0.3">
      <c r="A12" s="3" t="s">
        <v>41</v>
      </c>
      <c r="B12" s="12">
        <v>4118.3999999999996</v>
      </c>
      <c r="C12" s="12">
        <v>4118.3999999999996</v>
      </c>
      <c r="D12" s="12">
        <v>4118.3999999999996</v>
      </c>
      <c r="E12" s="12">
        <v>4118.3999999999996</v>
      </c>
      <c r="F12" s="12">
        <v>4118.3999999999996</v>
      </c>
      <c r="G12" s="12">
        <v>6842.16</v>
      </c>
      <c r="H12" s="12">
        <v>6842.16</v>
      </c>
      <c r="I12" s="12">
        <v>6842.16</v>
      </c>
      <c r="J12" s="12">
        <v>6842.16</v>
      </c>
      <c r="K12" s="12">
        <v>6842.16</v>
      </c>
      <c r="L12" s="12">
        <v>6842.16</v>
      </c>
      <c r="M12" s="12">
        <v>6842.16</v>
      </c>
      <c r="N12" s="12">
        <f t="shared" si="15"/>
        <v>68487.12000000001</v>
      </c>
    </row>
    <row r="13" spans="1:14" ht="24.75" customHeight="1" thickBot="1" x14ac:dyDescent="0.3">
      <c r="A13" s="3" t="s">
        <v>15</v>
      </c>
      <c r="B13" s="12">
        <v>1770</v>
      </c>
      <c r="C13" s="12">
        <v>1770</v>
      </c>
      <c r="D13" s="12">
        <v>1770</v>
      </c>
      <c r="E13" s="12">
        <v>1770</v>
      </c>
      <c r="F13" s="12">
        <v>1770</v>
      </c>
      <c r="G13" s="12">
        <v>1770</v>
      </c>
      <c r="H13" s="12">
        <v>1770</v>
      </c>
      <c r="I13" s="12">
        <v>1770</v>
      </c>
      <c r="J13" s="12">
        <v>1770</v>
      </c>
      <c r="K13" s="12">
        <v>1770</v>
      </c>
      <c r="L13" s="12">
        <v>1770</v>
      </c>
      <c r="M13" s="12">
        <v>1770</v>
      </c>
      <c r="N13" s="12">
        <f t="shared" si="15"/>
        <v>21240</v>
      </c>
    </row>
    <row r="14" spans="1:14" ht="20.25" customHeight="1" thickBot="1" x14ac:dyDescent="0.3">
      <c r="A14" s="13" t="s">
        <v>8</v>
      </c>
      <c r="B14" s="14">
        <f t="shared" ref="B14:M14" si="17">SUM(B15:B21)</f>
        <v>105268.97</v>
      </c>
      <c r="C14" s="14">
        <f t="shared" si="17"/>
        <v>87661.86</v>
      </c>
      <c r="D14" s="14">
        <f t="shared" si="17"/>
        <v>87812.18</v>
      </c>
      <c r="E14" s="14">
        <f t="shared" si="17"/>
        <v>79996.509999999995</v>
      </c>
      <c r="F14" s="14">
        <f t="shared" si="17"/>
        <v>85729.880000000019</v>
      </c>
      <c r="G14" s="14">
        <f t="shared" si="17"/>
        <v>82759.149999999994</v>
      </c>
      <c r="H14" s="14">
        <f t="shared" si="17"/>
        <v>82860.97</v>
      </c>
      <c r="I14" s="14">
        <f t="shared" si="17"/>
        <v>90794.26999999999</v>
      </c>
      <c r="J14" s="14">
        <f t="shared" si="17"/>
        <v>78738.780000000013</v>
      </c>
      <c r="K14" s="14">
        <f t="shared" si="17"/>
        <v>89388</v>
      </c>
      <c r="L14" s="14">
        <f t="shared" si="17"/>
        <v>85898.34</v>
      </c>
      <c r="M14" s="14">
        <f t="shared" si="17"/>
        <v>98463.860000000015</v>
      </c>
      <c r="N14" s="14">
        <f>SUM(B14:M14)</f>
        <v>1055372.77</v>
      </c>
    </row>
    <row r="15" spans="1:14" ht="20.25" customHeight="1" thickBot="1" x14ac:dyDescent="0.3">
      <c r="A15" s="3" t="s">
        <v>26</v>
      </c>
      <c r="B15" s="12">
        <f>72.34+353.7+92433.14+1679.24+27.41+91.58</f>
        <v>94657.41</v>
      </c>
      <c r="C15" s="12">
        <f>79703.6+1378.33</f>
        <v>81081.930000000008</v>
      </c>
      <c r="D15" s="12">
        <f>77934.09+2634.15</f>
        <v>80568.239999999991</v>
      </c>
      <c r="E15" s="12">
        <f>72783.98+1313.01</f>
        <v>74096.989999999991</v>
      </c>
      <c r="F15" s="12">
        <f>78043.69+1425.07</f>
        <v>79468.760000000009</v>
      </c>
      <c r="G15" s="12">
        <f>75341.43+1370.56</f>
        <v>76711.989999999991</v>
      </c>
      <c r="H15" s="12">
        <f>72424.41+1325.6</f>
        <v>73750.010000000009</v>
      </c>
      <c r="I15" s="12">
        <f>77886.84+1388.24</f>
        <v>79275.08</v>
      </c>
      <c r="J15" s="12">
        <f>67767.32+1244.79</f>
        <v>69012.11</v>
      </c>
      <c r="K15" s="12">
        <f>77746.7+1438.7</f>
        <v>79185.399999999994</v>
      </c>
      <c r="L15" s="12">
        <f>73180.17+1312.38</f>
        <v>74492.55</v>
      </c>
      <c r="M15" s="12">
        <f>84761.5-5.93+1492.5-15.5</f>
        <v>86232.57</v>
      </c>
      <c r="N15" s="12">
        <f>SUM(B15:M15)</f>
        <v>948533.04</v>
      </c>
    </row>
    <row r="16" spans="1:14" ht="23.25" customHeight="1" thickBot="1" x14ac:dyDescent="0.3">
      <c r="A16" s="3" t="s">
        <v>17</v>
      </c>
      <c r="B16" s="12">
        <v>705.92</v>
      </c>
      <c r="C16" s="12">
        <v>433.69</v>
      </c>
      <c r="D16" s="12">
        <v>259.55</v>
      </c>
      <c r="E16" s="12">
        <v>30.11</v>
      </c>
      <c r="F16" s="12">
        <v>26.57</v>
      </c>
      <c r="G16" s="12">
        <v>4.07</v>
      </c>
      <c r="H16" s="12">
        <v>347.38</v>
      </c>
      <c r="I16" s="12">
        <v>1703.17</v>
      </c>
      <c r="J16" s="12">
        <v>1696.11</v>
      </c>
      <c r="K16" s="12">
        <v>178.96</v>
      </c>
      <c r="L16" s="12">
        <v>2962.52</v>
      </c>
      <c r="M16" s="12">
        <v>50.11</v>
      </c>
      <c r="N16" s="12">
        <f t="shared" ref="N16:N21" si="18">SUM(B16:M16)</f>
        <v>8398.16</v>
      </c>
    </row>
    <row r="17" spans="1:17" ht="21.75" customHeight="1" thickBot="1" x14ac:dyDescent="0.3">
      <c r="A17" s="3" t="s">
        <v>18</v>
      </c>
      <c r="B17" s="12">
        <v>341.83</v>
      </c>
      <c r="C17" s="12">
        <v>278.93</v>
      </c>
      <c r="D17" s="12">
        <v>270.89999999999998</v>
      </c>
      <c r="E17" s="12">
        <v>243.36</v>
      </c>
      <c r="F17" s="12">
        <v>260.63</v>
      </c>
      <c r="G17" s="12">
        <v>251.28</v>
      </c>
      <c r="H17" s="12">
        <v>241.76</v>
      </c>
      <c r="I17" s="12">
        <v>284.98</v>
      </c>
      <c r="J17" s="12">
        <v>249.66</v>
      </c>
      <c r="K17" s="12">
        <v>286.19</v>
      </c>
      <c r="L17" s="12">
        <v>269.44</v>
      </c>
      <c r="M17" s="12">
        <v>312.16000000000003</v>
      </c>
      <c r="N17" s="12">
        <f t="shared" si="18"/>
        <v>3291.12</v>
      </c>
    </row>
    <row r="18" spans="1:17" ht="22.5" customHeight="1" thickBot="1" x14ac:dyDescent="0.3">
      <c r="A18" s="3" t="s">
        <v>19</v>
      </c>
      <c r="B18" s="12">
        <v>227.22</v>
      </c>
      <c r="C18" s="12">
        <v>89.23</v>
      </c>
      <c r="D18" s="12">
        <v>65.03</v>
      </c>
      <c r="E18" s="12">
        <v>10.15</v>
      </c>
      <c r="F18" s="12">
        <v>6.93</v>
      </c>
      <c r="G18" s="12">
        <v>0</v>
      </c>
      <c r="H18" s="12">
        <v>2.87</v>
      </c>
      <c r="I18" s="12">
        <v>13.98</v>
      </c>
      <c r="J18" s="12">
        <v>0</v>
      </c>
      <c r="K18" s="12">
        <v>10.07</v>
      </c>
      <c r="L18" s="12">
        <v>2.67</v>
      </c>
      <c r="M18" s="12">
        <v>15.38</v>
      </c>
      <c r="N18" s="12">
        <f t="shared" si="18"/>
        <v>443.53000000000003</v>
      </c>
    </row>
    <row r="19" spans="1:17" ht="22.5" customHeight="1" thickBot="1" x14ac:dyDescent="0.3">
      <c r="A19" s="3" t="s">
        <v>25</v>
      </c>
      <c r="B19" s="12">
        <v>595.26</v>
      </c>
      <c r="C19" s="12">
        <v>512.37</v>
      </c>
      <c r="D19" s="12">
        <v>499.66</v>
      </c>
      <c r="E19" s="12">
        <v>467.1</v>
      </c>
      <c r="F19" s="12">
        <v>501.39</v>
      </c>
      <c r="G19" s="12">
        <v>484.61</v>
      </c>
      <c r="H19" s="12">
        <v>465.43</v>
      </c>
      <c r="I19" s="12">
        <v>569.55999999999995</v>
      </c>
      <c r="J19" s="12">
        <v>503.66</v>
      </c>
      <c r="K19" s="12">
        <v>573.98</v>
      </c>
      <c r="L19" s="12">
        <v>543.04</v>
      </c>
      <c r="M19" s="12">
        <v>1596.83</v>
      </c>
      <c r="N19" s="12">
        <f t="shared" ref="N19" si="19">SUM(B19:M19)</f>
        <v>7312.89</v>
      </c>
    </row>
    <row r="20" spans="1:17" ht="22.5" customHeight="1" thickBot="1" x14ac:dyDescent="0.3">
      <c r="A20" s="3" t="s">
        <v>41</v>
      </c>
      <c r="B20" s="12">
        <v>4941.33</v>
      </c>
      <c r="C20" s="12">
        <v>3865.71</v>
      </c>
      <c r="D20" s="12">
        <v>4748.8</v>
      </c>
      <c r="E20" s="12">
        <v>3748.8</v>
      </c>
      <c r="F20" s="12">
        <v>4065.6</v>
      </c>
      <c r="G20" s="12">
        <v>3907.2</v>
      </c>
      <c r="H20" s="12">
        <v>6053.52</v>
      </c>
      <c r="I20" s="12">
        <v>6497.5</v>
      </c>
      <c r="J20" s="12">
        <v>5877.24</v>
      </c>
      <c r="K20" s="12">
        <v>6853.4</v>
      </c>
      <c r="L20" s="12">
        <v>6228.12</v>
      </c>
      <c r="M20" s="12">
        <v>7056.81</v>
      </c>
      <c r="N20" s="12">
        <f t="shared" si="18"/>
        <v>63844.03</v>
      </c>
    </row>
    <row r="21" spans="1:17" ht="23.25" customHeight="1" thickBot="1" x14ac:dyDescent="0.3">
      <c r="A21" s="3" t="s">
        <v>15</v>
      </c>
      <c r="B21" s="15">
        <v>3800</v>
      </c>
      <c r="C21" s="15">
        <v>1400</v>
      </c>
      <c r="D21" s="15">
        <v>1400</v>
      </c>
      <c r="E21" s="15">
        <v>1400</v>
      </c>
      <c r="F21" s="15">
        <v>1400</v>
      </c>
      <c r="G21" s="15">
        <v>1400</v>
      </c>
      <c r="H21" s="15">
        <v>2000</v>
      </c>
      <c r="I21" s="15">
        <v>2450</v>
      </c>
      <c r="J21" s="15">
        <v>1400</v>
      </c>
      <c r="K21" s="12">
        <v>2300</v>
      </c>
      <c r="L21" s="12">
        <v>1400</v>
      </c>
      <c r="M21" s="12">
        <v>3200</v>
      </c>
      <c r="N21" s="12">
        <f t="shared" si="18"/>
        <v>23550</v>
      </c>
      <c r="O21" s="2"/>
    </row>
    <row r="22" spans="1:17" ht="21.75" customHeight="1" thickBot="1" x14ac:dyDescent="0.3">
      <c r="A22" s="16" t="s">
        <v>24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/>
    </row>
    <row r="23" spans="1:17" ht="19.5" customHeight="1" thickBot="1" x14ac:dyDescent="0.3">
      <c r="A23" s="3" t="s">
        <v>1</v>
      </c>
      <c r="B23" s="12">
        <f t="shared" ref="B23:M23" si="20">3564.7*0.6</f>
        <v>2138.8199999999997</v>
      </c>
      <c r="C23" s="12">
        <f t="shared" si="20"/>
        <v>2138.8199999999997</v>
      </c>
      <c r="D23" s="12">
        <f t="shared" si="20"/>
        <v>2138.8199999999997</v>
      </c>
      <c r="E23" s="12">
        <f t="shared" si="20"/>
        <v>2138.8199999999997</v>
      </c>
      <c r="F23" s="12">
        <f t="shared" si="20"/>
        <v>2138.8199999999997</v>
      </c>
      <c r="G23" s="12">
        <f t="shared" si="20"/>
        <v>2138.8199999999997</v>
      </c>
      <c r="H23" s="12">
        <f t="shared" si="20"/>
        <v>2138.8199999999997</v>
      </c>
      <c r="I23" s="12">
        <f t="shared" si="20"/>
        <v>2138.8199999999997</v>
      </c>
      <c r="J23" s="12">
        <f t="shared" si="20"/>
        <v>2138.8199999999997</v>
      </c>
      <c r="K23" s="12">
        <f t="shared" si="20"/>
        <v>2138.8199999999997</v>
      </c>
      <c r="L23" s="12">
        <f t="shared" si="20"/>
        <v>2138.8199999999997</v>
      </c>
      <c r="M23" s="12">
        <f t="shared" si="20"/>
        <v>2138.8199999999997</v>
      </c>
      <c r="N23" s="12">
        <f>SUM(B23:M23)</f>
        <v>25665.839999999997</v>
      </c>
    </row>
    <row r="24" spans="1:17" ht="22.5" customHeight="1" thickBot="1" x14ac:dyDescent="0.3">
      <c r="A24" s="3" t="s">
        <v>2</v>
      </c>
      <c r="B24" s="12">
        <f>3564.7*0.17</f>
        <v>605.99900000000002</v>
      </c>
      <c r="C24" s="12">
        <f t="shared" ref="C24:M24" si="21">3564.7*0.17</f>
        <v>605.99900000000002</v>
      </c>
      <c r="D24" s="12">
        <f t="shared" si="21"/>
        <v>605.99900000000002</v>
      </c>
      <c r="E24" s="12">
        <f t="shared" si="21"/>
        <v>605.99900000000002</v>
      </c>
      <c r="F24" s="12">
        <f t="shared" si="21"/>
        <v>605.99900000000002</v>
      </c>
      <c r="G24" s="12">
        <f t="shared" si="21"/>
        <v>605.99900000000002</v>
      </c>
      <c r="H24" s="12">
        <f t="shared" si="21"/>
        <v>605.99900000000002</v>
      </c>
      <c r="I24" s="12">
        <f t="shared" si="21"/>
        <v>605.99900000000002</v>
      </c>
      <c r="J24" s="12">
        <f t="shared" si="21"/>
        <v>605.99900000000002</v>
      </c>
      <c r="K24" s="12">
        <f t="shared" si="21"/>
        <v>605.99900000000002</v>
      </c>
      <c r="L24" s="12">
        <f t="shared" si="21"/>
        <v>605.99900000000002</v>
      </c>
      <c r="M24" s="12">
        <f t="shared" si="21"/>
        <v>605.99900000000002</v>
      </c>
      <c r="N24" s="12">
        <f t="shared" ref="N24:N37" si="22">SUM(B24:M24)</f>
        <v>7271.9879999999985</v>
      </c>
    </row>
    <row r="25" spans="1:17" ht="21" customHeight="1" thickBot="1" x14ac:dyDescent="0.3">
      <c r="A25" s="3" t="s">
        <v>3</v>
      </c>
      <c r="B25" s="12">
        <f>86161.77*2.3%</f>
        <v>1981.7207100000001</v>
      </c>
      <c r="C25" s="12">
        <f>85921.1*2.3%</f>
        <v>1976.1853000000001</v>
      </c>
      <c r="D25" s="12">
        <f>85921.17*2.3%</f>
        <v>1976.1869099999999</v>
      </c>
      <c r="E25" s="12">
        <f>69775.93*2.3%</f>
        <v>1604.8463899999997</v>
      </c>
      <c r="F25" s="12">
        <f>85921.17*2.3%</f>
        <v>1976.1869099999999</v>
      </c>
      <c r="G25" s="12">
        <f>89055.66*2.3%</f>
        <v>2048.2801800000002</v>
      </c>
      <c r="H25" s="12">
        <f>90640.85*2.3%</f>
        <v>2084.7395500000002</v>
      </c>
      <c r="I25" s="12">
        <f>90770.98*2.3%</f>
        <v>2087.73254</v>
      </c>
      <c r="J25" s="12">
        <f>88752.28*2.3%</f>
        <v>2041.3024399999999</v>
      </c>
      <c r="K25" s="12">
        <f>92311.37*2.3%</f>
        <v>2123.1615099999999</v>
      </c>
      <c r="L25" s="12">
        <f>95032.45*2.3%</f>
        <v>2185.7463499999999</v>
      </c>
      <c r="M25" s="12">
        <f>97831.97*2.3%</f>
        <v>2250.1353100000001</v>
      </c>
      <c r="N25" s="12">
        <f t="shared" si="22"/>
        <v>24336.224100000003</v>
      </c>
    </row>
    <row r="26" spans="1:17" ht="23.25" customHeight="1" thickBot="1" x14ac:dyDescent="0.3">
      <c r="A26" s="3" t="s">
        <v>4</v>
      </c>
      <c r="B26" s="12">
        <f>101468.97*3%</f>
        <v>3044.0690999999997</v>
      </c>
      <c r="C26" s="12">
        <f>86261.86*3%</f>
        <v>2587.8557999999998</v>
      </c>
      <c r="D26" s="12">
        <f>86412.18*3%</f>
        <v>2592.3653999999997</v>
      </c>
      <c r="E26" s="12">
        <f>78596.51*3%</f>
        <v>2357.8952999999997</v>
      </c>
      <c r="F26" s="12">
        <f>84329.88*3%</f>
        <v>2529.8964000000001</v>
      </c>
      <c r="G26" s="12">
        <f>81359.15*3%</f>
        <v>2440.7744999999995</v>
      </c>
      <c r="H26" s="12">
        <f>80860.97*3%</f>
        <v>2425.8290999999999</v>
      </c>
      <c r="I26" s="12">
        <f>88344.27*3%</f>
        <v>2650.3281000000002</v>
      </c>
      <c r="J26" s="12">
        <f>77338.78*3%</f>
        <v>2320.1633999999999</v>
      </c>
      <c r="K26" s="12">
        <f>87088*3%</f>
        <v>2612.64</v>
      </c>
      <c r="L26" s="12">
        <f>84498.34*3%</f>
        <v>2534.9501999999998</v>
      </c>
      <c r="M26" s="12">
        <f>95263.86*3%</f>
        <v>2857.9157999999998</v>
      </c>
      <c r="N26" s="12">
        <f t="shared" si="22"/>
        <v>30954.683099999998</v>
      </c>
    </row>
    <row r="27" spans="1:17" s="4" customFormat="1" ht="23.25" customHeight="1" thickBot="1" x14ac:dyDescent="0.3">
      <c r="A27" s="5" t="s">
        <v>9</v>
      </c>
      <c r="B27" s="19">
        <f t="shared" ref="B27:M27" si="23">3564.7*9.7</f>
        <v>34577.589999999997</v>
      </c>
      <c r="C27" s="19">
        <f t="shared" si="23"/>
        <v>34577.589999999997</v>
      </c>
      <c r="D27" s="19">
        <f t="shared" si="23"/>
        <v>34577.589999999997</v>
      </c>
      <c r="E27" s="19">
        <f t="shared" si="23"/>
        <v>34577.589999999997</v>
      </c>
      <c r="F27" s="19">
        <f t="shared" si="23"/>
        <v>34577.589999999997</v>
      </c>
      <c r="G27" s="19">
        <f t="shared" si="23"/>
        <v>34577.589999999997</v>
      </c>
      <c r="H27" s="19">
        <f t="shared" si="23"/>
        <v>34577.589999999997</v>
      </c>
      <c r="I27" s="19">
        <f t="shared" si="23"/>
        <v>34577.589999999997</v>
      </c>
      <c r="J27" s="19">
        <f t="shared" si="23"/>
        <v>34577.589999999997</v>
      </c>
      <c r="K27" s="19">
        <f t="shared" si="23"/>
        <v>34577.589999999997</v>
      </c>
      <c r="L27" s="19">
        <f t="shared" si="23"/>
        <v>34577.589999999997</v>
      </c>
      <c r="M27" s="19">
        <f t="shared" si="23"/>
        <v>34577.589999999997</v>
      </c>
      <c r="N27" s="12">
        <f t="shared" si="22"/>
        <v>414931.07999999984</v>
      </c>
    </row>
    <row r="28" spans="1:17" ht="26.25" customHeight="1" thickBot="1" x14ac:dyDescent="0.3">
      <c r="A28" s="3" t="s">
        <v>20</v>
      </c>
      <c r="B28" s="12">
        <v>0</v>
      </c>
      <c r="C28" s="12">
        <v>0</v>
      </c>
      <c r="D28" s="12">
        <v>0</v>
      </c>
      <c r="E28" s="12">
        <v>0</v>
      </c>
      <c r="F28" s="12">
        <f>410.71+0.01</f>
        <v>410.71999999999997</v>
      </c>
      <c r="G28" s="12">
        <f>1675.47+213.14</f>
        <v>1888.6100000000001</v>
      </c>
      <c r="H28" s="12">
        <f>1806.29+212.42</f>
        <v>2018.71</v>
      </c>
      <c r="I28" s="12">
        <v>0</v>
      </c>
      <c r="J28" s="12">
        <f>3184.43+374.61</f>
        <v>3559.04</v>
      </c>
      <c r="K28" s="12">
        <f>5883.78+692.14</f>
        <v>6575.92</v>
      </c>
      <c r="L28" s="12">
        <f>6111.52+718.9</f>
        <v>6830.42</v>
      </c>
      <c r="M28" s="12">
        <f>1977.86+232.66</f>
        <v>2210.52</v>
      </c>
      <c r="N28" s="12">
        <f t="shared" si="22"/>
        <v>23493.94</v>
      </c>
      <c r="Q28" s="4"/>
    </row>
    <row r="29" spans="1:17" ht="26.25" customHeight="1" thickBot="1" x14ac:dyDescent="0.3">
      <c r="A29" s="3" t="s">
        <v>21</v>
      </c>
      <c r="B29" s="12">
        <v>397.81</v>
      </c>
      <c r="C29" s="12">
        <v>397.81</v>
      </c>
      <c r="D29" s="12">
        <v>397.81</v>
      </c>
      <c r="E29" s="12">
        <v>397.81</v>
      </c>
      <c r="F29" s="12">
        <v>397.81</v>
      </c>
      <c r="G29" s="12">
        <v>397.81</v>
      </c>
      <c r="H29" s="12">
        <v>439.52</v>
      </c>
      <c r="I29" s="12">
        <v>439.52</v>
      </c>
      <c r="J29" s="12">
        <v>439.52</v>
      </c>
      <c r="K29" s="12">
        <v>439.52</v>
      </c>
      <c r="L29" s="12">
        <v>439.52</v>
      </c>
      <c r="M29" s="12">
        <v>439.52</v>
      </c>
      <c r="N29" s="12">
        <f t="shared" si="22"/>
        <v>5023.9800000000014</v>
      </c>
      <c r="Q29" s="4"/>
    </row>
    <row r="30" spans="1:17" ht="26.25" customHeight="1" thickBot="1" x14ac:dyDescent="0.3">
      <c r="A30" s="3" t="s">
        <v>22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f t="shared" si="22"/>
        <v>0</v>
      </c>
    </row>
    <row r="31" spans="1:17" ht="26.25" customHeight="1" thickBot="1" x14ac:dyDescent="0.3">
      <c r="A31" s="3" t="s">
        <v>25</v>
      </c>
      <c r="B31" s="12">
        <v>511.73</v>
      </c>
      <c r="C31" s="12">
        <v>511.73</v>
      </c>
      <c r="D31" s="12">
        <v>511.73</v>
      </c>
      <c r="E31" s="12">
        <v>511.73</v>
      </c>
      <c r="F31" s="12">
        <v>511.73</v>
      </c>
      <c r="G31" s="12">
        <v>511.73</v>
      </c>
      <c r="H31" s="12">
        <v>295.63</v>
      </c>
      <c r="I31" s="12">
        <f>295.63+4966.87</f>
        <v>5262.5</v>
      </c>
      <c r="J31" s="12">
        <v>295.63</v>
      </c>
      <c r="K31" s="12">
        <v>295.63</v>
      </c>
      <c r="L31" s="12">
        <v>295.63</v>
      </c>
      <c r="M31" s="12">
        <v>295.63</v>
      </c>
      <c r="N31" s="12">
        <f t="shared" si="22"/>
        <v>9811.029999999997</v>
      </c>
    </row>
    <row r="32" spans="1:17" ht="22.5" customHeight="1" thickBot="1" x14ac:dyDescent="0.3">
      <c r="A32" s="3" t="s">
        <v>6</v>
      </c>
      <c r="B32" s="19">
        <f t="shared" ref="B32:M32" si="24">3564.7*3.35</f>
        <v>11941.744999999999</v>
      </c>
      <c r="C32" s="19">
        <f t="shared" si="24"/>
        <v>11941.744999999999</v>
      </c>
      <c r="D32" s="19">
        <f t="shared" si="24"/>
        <v>11941.744999999999</v>
      </c>
      <c r="E32" s="19">
        <f t="shared" si="24"/>
        <v>11941.744999999999</v>
      </c>
      <c r="F32" s="19">
        <f t="shared" si="24"/>
        <v>11941.744999999999</v>
      </c>
      <c r="G32" s="19">
        <f t="shared" si="24"/>
        <v>11941.744999999999</v>
      </c>
      <c r="H32" s="19">
        <f t="shared" si="24"/>
        <v>11941.744999999999</v>
      </c>
      <c r="I32" s="19">
        <f t="shared" si="24"/>
        <v>11941.744999999999</v>
      </c>
      <c r="J32" s="19">
        <f t="shared" si="24"/>
        <v>11941.744999999999</v>
      </c>
      <c r="K32" s="19">
        <f t="shared" si="24"/>
        <v>11941.744999999999</v>
      </c>
      <c r="L32" s="19">
        <f t="shared" si="24"/>
        <v>11941.744999999999</v>
      </c>
      <c r="M32" s="19">
        <f t="shared" si="24"/>
        <v>11941.744999999999</v>
      </c>
      <c r="N32" s="12">
        <f t="shared" si="22"/>
        <v>143300.93999999997</v>
      </c>
    </row>
    <row r="33" spans="1:17" ht="21.75" customHeight="1" thickBot="1" x14ac:dyDescent="0.3">
      <c r="A33" s="3" t="s">
        <v>41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2316.92</v>
      </c>
      <c r="H33" s="12">
        <v>2228.04</v>
      </c>
      <c r="I33" s="12">
        <v>3450.46</v>
      </c>
      <c r="J33" s="12">
        <v>3703.25</v>
      </c>
      <c r="K33" s="12">
        <v>3350.07</v>
      </c>
      <c r="L33" s="12">
        <v>3906.38</v>
      </c>
      <c r="M33" s="12">
        <v>3549.68</v>
      </c>
      <c r="N33" s="12">
        <f t="shared" si="22"/>
        <v>22504.799999999999</v>
      </c>
    </row>
    <row r="34" spans="1:17" ht="21.75" customHeight="1" thickBot="1" x14ac:dyDescent="0.3">
      <c r="A34" s="3" t="s">
        <v>42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f>529+1219.68</f>
        <v>1748.68</v>
      </c>
      <c r="H34" s="12">
        <f>507+1172.16</f>
        <v>1679.16</v>
      </c>
      <c r="I34" s="12">
        <f>787+1816.06</f>
        <v>2603.06</v>
      </c>
      <c r="J34" s="12">
        <f>845+1949.25</f>
        <v>2794.25</v>
      </c>
      <c r="K34" s="12">
        <f>764+1763.17</f>
        <v>2527.17</v>
      </c>
      <c r="L34" s="12">
        <f>891+2056.02</f>
        <v>2947.02</v>
      </c>
      <c r="M34" s="12">
        <f>810+1868.44</f>
        <v>2678.44</v>
      </c>
      <c r="N34" s="12">
        <f t="shared" si="22"/>
        <v>16977.78</v>
      </c>
    </row>
    <row r="35" spans="1:17" ht="24.75" customHeight="1" thickBot="1" x14ac:dyDescent="0.3">
      <c r="A35" s="3" t="s">
        <v>27</v>
      </c>
      <c r="B35" s="12">
        <v>900</v>
      </c>
      <c r="C35" s="12">
        <v>900</v>
      </c>
      <c r="D35" s="12">
        <v>900</v>
      </c>
      <c r="E35" s="12">
        <v>900</v>
      </c>
      <c r="F35" s="12">
        <v>900</v>
      </c>
      <c r="G35" s="12">
        <v>900</v>
      </c>
      <c r="H35" s="12">
        <v>900</v>
      </c>
      <c r="I35" s="12">
        <v>900</v>
      </c>
      <c r="J35" s="12">
        <v>900</v>
      </c>
      <c r="K35" s="12">
        <v>900</v>
      </c>
      <c r="L35" s="12">
        <v>900</v>
      </c>
      <c r="M35" s="12">
        <v>900</v>
      </c>
      <c r="N35" s="12">
        <f t="shared" si="22"/>
        <v>10800</v>
      </c>
    </row>
    <row r="36" spans="1:17" ht="24.75" customHeight="1" thickBot="1" x14ac:dyDescent="0.3">
      <c r="A36" s="3" t="s">
        <v>14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20872.09</v>
      </c>
      <c r="N36" s="12">
        <f t="shared" si="22"/>
        <v>20872.09</v>
      </c>
    </row>
    <row r="37" spans="1:17" ht="24" customHeight="1" thickBot="1" x14ac:dyDescent="0.3">
      <c r="A37" s="3" t="s">
        <v>10</v>
      </c>
      <c r="B37" s="12">
        <v>0</v>
      </c>
      <c r="C37" s="12">
        <v>0</v>
      </c>
      <c r="D37" s="12">
        <v>0</v>
      </c>
      <c r="E37" s="12">
        <f>3524.6+5648.5</f>
        <v>9173.1</v>
      </c>
      <c r="F37" s="12">
        <f>3048.7</f>
        <v>3048.7</v>
      </c>
      <c r="G37" s="12">
        <v>0</v>
      </c>
      <c r="H37" s="12">
        <f>7031.8</f>
        <v>7031.8</v>
      </c>
      <c r="I37" s="12">
        <f>9500+3704.6</f>
        <v>13204.6</v>
      </c>
      <c r="J37" s="12">
        <f>5979.9+325.3</f>
        <v>6305.2</v>
      </c>
      <c r="K37" s="12">
        <f>9862.7+17000</f>
        <v>26862.7</v>
      </c>
      <c r="L37" s="12">
        <f>105+2349.3</f>
        <v>2454.3000000000002</v>
      </c>
      <c r="M37" s="12">
        <v>1298.5</v>
      </c>
      <c r="N37" s="12">
        <f t="shared" si="22"/>
        <v>69378.899999999994</v>
      </c>
    </row>
    <row r="38" spans="1:17" ht="22.5" customHeight="1" thickBot="1" x14ac:dyDescent="0.3">
      <c r="A38" s="10" t="s">
        <v>23</v>
      </c>
      <c r="B38" s="11">
        <f>SUM(B23:B37)</f>
        <v>56099.483809999991</v>
      </c>
      <c r="C38" s="11">
        <f t="shared" ref="C38:M38" si="25">SUM(C23:C37)</f>
        <v>55637.735099999991</v>
      </c>
      <c r="D38" s="11">
        <f t="shared" si="25"/>
        <v>55642.246310000002</v>
      </c>
      <c r="E38" s="11">
        <f t="shared" si="25"/>
        <v>64209.535689999997</v>
      </c>
      <c r="F38" s="11">
        <f t="shared" si="25"/>
        <v>59039.197309999989</v>
      </c>
      <c r="G38" s="11">
        <f t="shared" si="25"/>
        <v>61516.958679999989</v>
      </c>
      <c r="H38" s="11">
        <f t="shared" si="25"/>
        <v>68367.582649999982</v>
      </c>
      <c r="I38" s="11">
        <f t="shared" si="25"/>
        <v>79862.354640000005</v>
      </c>
      <c r="J38" s="11">
        <f t="shared" si="25"/>
        <v>71622.509839999984</v>
      </c>
      <c r="K38" s="11">
        <f t="shared" si="25"/>
        <v>94950.965509999995</v>
      </c>
      <c r="L38" s="11">
        <f t="shared" si="25"/>
        <v>71758.120549999978</v>
      </c>
      <c r="M38" s="11">
        <f t="shared" si="25"/>
        <v>86616.585109999985</v>
      </c>
      <c r="N38" s="11">
        <f>SUM(B38:M38)</f>
        <v>825323.27519999992</v>
      </c>
      <c r="Q38" s="22" t="s">
        <v>44</v>
      </c>
    </row>
    <row r="39" spans="1:17" ht="23.25" customHeight="1" thickBot="1" x14ac:dyDescent="0.3">
      <c r="A39" s="3" t="s">
        <v>5</v>
      </c>
      <c r="B39" s="20">
        <f t="shared" ref="B39:N39" si="26">B14-B38</f>
        <v>49169.486190000011</v>
      </c>
      <c r="C39" s="20">
        <f t="shared" si="26"/>
        <v>32024.12490000001</v>
      </c>
      <c r="D39" s="20">
        <f t="shared" si="26"/>
        <v>32169.933689999991</v>
      </c>
      <c r="E39" s="20">
        <f t="shared" si="26"/>
        <v>15786.974309999998</v>
      </c>
      <c r="F39" s="20">
        <f t="shared" si="26"/>
        <v>26690.682690000031</v>
      </c>
      <c r="G39" s="20">
        <f t="shared" si="26"/>
        <v>21242.191320000005</v>
      </c>
      <c r="H39" s="20">
        <f t="shared" si="26"/>
        <v>14493.387350000019</v>
      </c>
      <c r="I39" s="20">
        <f t="shared" si="26"/>
        <v>10931.915359999985</v>
      </c>
      <c r="J39" s="20">
        <f t="shared" si="26"/>
        <v>7116.2701600000291</v>
      </c>
      <c r="K39" s="20">
        <f t="shared" si="26"/>
        <v>-5562.9655099999945</v>
      </c>
      <c r="L39" s="20">
        <f t="shared" si="26"/>
        <v>14140.219450000019</v>
      </c>
      <c r="M39" s="20">
        <f t="shared" si="26"/>
        <v>11847.27489000003</v>
      </c>
      <c r="N39" s="12">
        <f t="shared" si="26"/>
        <v>230049.4948000001</v>
      </c>
      <c r="Q39" s="22" t="s">
        <v>45</v>
      </c>
    </row>
    <row r="40" spans="1:17" ht="23.25" customHeight="1" thickBot="1" x14ac:dyDescent="0.3">
      <c r="A40" s="3" t="s">
        <v>7</v>
      </c>
      <c r="B40" s="15">
        <f t="shared" ref="B40:N40" si="27">B4+B39</f>
        <v>-729851.65381000005</v>
      </c>
      <c r="C40" s="15">
        <f t="shared" si="27"/>
        <v>-697827.52890999999</v>
      </c>
      <c r="D40" s="15">
        <f t="shared" si="27"/>
        <v>-665657.59522000002</v>
      </c>
      <c r="E40" s="15">
        <f t="shared" si="27"/>
        <v>-649870.62091000006</v>
      </c>
      <c r="F40" s="15">
        <f t="shared" si="27"/>
        <v>-623179.93822000001</v>
      </c>
      <c r="G40" s="15">
        <f t="shared" si="27"/>
        <v>-601937.74690000003</v>
      </c>
      <c r="H40" s="15">
        <f t="shared" si="27"/>
        <v>-587444.35955000005</v>
      </c>
      <c r="I40" s="15">
        <f t="shared" si="27"/>
        <v>-576512.44419000007</v>
      </c>
      <c r="J40" s="15">
        <f t="shared" si="27"/>
        <v>-569396.17402999999</v>
      </c>
      <c r="K40" s="15">
        <f t="shared" si="27"/>
        <v>-574959.13954</v>
      </c>
      <c r="L40" s="15">
        <f t="shared" si="27"/>
        <v>-560818.92009000003</v>
      </c>
      <c r="M40" s="15">
        <f t="shared" si="27"/>
        <v>-548971.64520000003</v>
      </c>
      <c r="N40" s="15">
        <f t="shared" si="27"/>
        <v>-548971.64519999991</v>
      </c>
      <c r="Q40" s="22" t="s">
        <v>46</v>
      </c>
    </row>
    <row r="41" spans="1:17" ht="23.25" customHeight="1" thickBot="1" x14ac:dyDescent="0.3">
      <c r="A41" s="3" t="s">
        <v>43</v>
      </c>
      <c r="B41" s="12">
        <v>0</v>
      </c>
      <c r="C41" s="12">
        <v>0</v>
      </c>
      <c r="D41" s="12">
        <v>0</v>
      </c>
      <c r="E41" s="12">
        <v>16145.24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14103.92</v>
      </c>
      <c r="M41" s="12">
        <v>0</v>
      </c>
      <c r="N41" s="12">
        <f>SUM(B41:M41)</f>
        <v>30249.16</v>
      </c>
    </row>
    <row r="42" spans="1:17" ht="27" customHeight="1" thickBot="1" x14ac:dyDescent="0.3">
      <c r="A42" s="16" t="s">
        <v>11</v>
      </c>
      <c r="B42" s="21">
        <f>B5-B6+B14</f>
        <v>-369808.13</v>
      </c>
      <c r="C42" s="21">
        <f>C5-C6+C14</f>
        <v>-369837.37</v>
      </c>
      <c r="D42" s="21">
        <f>D5-D6+D14</f>
        <v>-369716.36</v>
      </c>
      <c r="E42" s="21">
        <f>E5+E14-E6+E41</f>
        <v>-361265.77999999997</v>
      </c>
      <c r="F42" s="21">
        <f t="shared" ref="F42:M42" si="28">F5+F14-F6+F41</f>
        <v>-363227.06999999995</v>
      </c>
      <c r="G42" s="21">
        <f t="shared" si="28"/>
        <v>-371293.57999999996</v>
      </c>
      <c r="H42" s="21">
        <f t="shared" si="28"/>
        <v>-380843.46</v>
      </c>
      <c r="I42" s="21">
        <f t="shared" si="28"/>
        <v>-382590.17000000004</v>
      </c>
      <c r="J42" s="21">
        <f t="shared" si="28"/>
        <v>-394373.67000000004</v>
      </c>
      <c r="K42" s="21">
        <f t="shared" si="28"/>
        <v>-399067.04000000004</v>
      </c>
      <c r="L42" s="21">
        <f t="shared" si="28"/>
        <v>-395867.2300000001</v>
      </c>
      <c r="M42" s="21">
        <f t="shared" si="28"/>
        <v>-397005.34000000014</v>
      </c>
      <c r="N42" s="21">
        <f>N5+N14-N6+N41</f>
        <v>-397005.34</v>
      </c>
    </row>
    <row r="45" spans="1:17" x14ac:dyDescent="0.25">
      <c r="L45" s="23"/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2025-03-03T07:23:30Z</cp:lastPrinted>
  <dcterms:created xsi:type="dcterms:W3CDTF">2011-06-06T03:25:48Z</dcterms:created>
  <dcterms:modified xsi:type="dcterms:W3CDTF">2025-03-03T07:26:32Z</dcterms:modified>
</cp:coreProperties>
</file>