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N27" i="1" l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26" i="1"/>
  <c r="M45" i="1" l="1"/>
  <c r="N45" i="1"/>
  <c r="L45" i="1"/>
  <c r="M23" i="1"/>
  <c r="M20" i="1"/>
  <c r="M10" i="1"/>
  <c r="M11" i="1"/>
  <c r="L23" i="1"/>
  <c r="L20" i="1"/>
  <c r="L14" i="1"/>
  <c r="L11" i="1"/>
  <c r="K23" i="1"/>
  <c r="K20" i="1"/>
  <c r="K10" i="1"/>
  <c r="K14" i="1"/>
  <c r="K11" i="1"/>
  <c r="M40" i="1" l="1"/>
  <c r="L40" i="1" l="1"/>
  <c r="K40" i="1" l="1"/>
  <c r="M38" i="1" l="1"/>
  <c r="L38" i="1"/>
  <c r="K38" i="1"/>
  <c r="M31" i="1" l="1"/>
  <c r="L31" i="1"/>
  <c r="K31" i="1"/>
  <c r="M29" i="1" l="1"/>
  <c r="M17" i="1"/>
  <c r="M28" i="1"/>
  <c r="M8" i="1"/>
  <c r="L29" i="1" l="1"/>
  <c r="L17" i="1"/>
  <c r="L28" i="1"/>
  <c r="L8" i="1"/>
  <c r="N44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J19" i="1" l="1"/>
  <c r="J23" i="1"/>
  <c r="J21" i="1"/>
  <c r="J20" i="1"/>
  <c r="J14" i="1"/>
  <c r="J11" i="1"/>
  <c r="I23" i="1"/>
  <c r="I21" i="1"/>
  <c r="I20" i="1"/>
  <c r="I10" i="1"/>
  <c r="I14" i="1"/>
  <c r="I12" i="1"/>
  <c r="I11" i="1"/>
  <c r="H23" i="1"/>
  <c r="H20" i="1"/>
  <c r="H14" i="1"/>
  <c r="H12" i="1"/>
  <c r="H11" i="1"/>
  <c r="J40" i="1" l="1"/>
  <c r="J31" i="1" l="1"/>
  <c r="H31" i="1"/>
  <c r="I40" i="1" l="1"/>
  <c r="J38" i="1" l="1"/>
  <c r="I38" i="1" l="1"/>
  <c r="H38" i="1"/>
  <c r="J29" i="1" l="1"/>
  <c r="J17" i="1"/>
  <c r="J28" i="1"/>
  <c r="J8" i="1"/>
  <c r="I29" i="1" l="1"/>
  <c r="I17" i="1"/>
  <c r="I28" i="1"/>
  <c r="I8" i="1"/>
  <c r="H29" i="1" l="1"/>
  <c r="H17" i="1"/>
  <c r="H28" i="1"/>
  <c r="H8" i="1"/>
  <c r="H35" i="1"/>
  <c r="I35" i="1"/>
  <c r="J35" i="1"/>
  <c r="H30" i="1" l="1"/>
  <c r="I30" i="1"/>
  <c r="J30" i="1"/>
  <c r="H27" i="1"/>
  <c r="I27" i="1"/>
  <c r="J27" i="1"/>
  <c r="H26" i="1"/>
  <c r="I26" i="1"/>
  <c r="J26" i="1"/>
  <c r="G23" i="1" l="1"/>
  <c r="G21" i="1"/>
  <c r="G20" i="1"/>
  <c r="G14" i="1"/>
  <c r="G11" i="1"/>
  <c r="F23" i="1"/>
  <c r="F21" i="1"/>
  <c r="F20" i="1"/>
  <c r="F14" i="1"/>
  <c r="F12" i="1"/>
  <c r="F11" i="1"/>
  <c r="F18" i="1"/>
  <c r="E12" i="1"/>
  <c r="E11" i="1"/>
  <c r="E14" i="1"/>
  <c r="F40" i="1" l="1"/>
  <c r="G38" i="1" l="1"/>
  <c r="F38" i="1"/>
  <c r="E38" i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40" i="1" l="1"/>
  <c r="E35" i="1" l="1"/>
  <c r="F35" i="1"/>
  <c r="G35" i="1"/>
  <c r="E30" i="1"/>
  <c r="F30" i="1"/>
  <c r="G30" i="1"/>
  <c r="E27" i="1"/>
  <c r="F27" i="1"/>
  <c r="G27" i="1"/>
  <c r="E26" i="1"/>
  <c r="F26" i="1"/>
  <c r="G26" i="1"/>
  <c r="D38" i="1" l="1"/>
  <c r="C38" i="1"/>
  <c r="D19" i="1" l="1"/>
  <c r="D20" i="1"/>
  <c r="D21" i="1"/>
  <c r="D23" i="1"/>
  <c r="D11" i="1"/>
  <c r="D12" i="1"/>
  <c r="D14" i="1"/>
  <c r="D18" i="1"/>
  <c r="C12" i="1"/>
  <c r="C11" i="1"/>
  <c r="C14" i="1"/>
  <c r="B10" i="1"/>
  <c r="B11" i="1"/>
  <c r="B14" i="1"/>
  <c r="D40" i="1" l="1"/>
  <c r="C40" i="1" l="1"/>
  <c r="D29" i="1" l="1"/>
  <c r="D17" i="1"/>
  <c r="D28" i="1"/>
  <c r="D8" i="1"/>
  <c r="B40" i="1" l="1"/>
  <c r="C29" i="1" l="1"/>
  <c r="C17" i="1"/>
  <c r="C28" i="1"/>
  <c r="C8" i="1"/>
  <c r="B29" i="1" l="1"/>
  <c r="B17" i="1"/>
  <c r="B28" i="1"/>
  <c r="B8" i="1"/>
  <c r="C35" i="1"/>
  <c r="D35" i="1"/>
  <c r="C30" i="1"/>
  <c r="D30" i="1"/>
  <c r="C27" i="1"/>
  <c r="D27" i="1"/>
  <c r="C26" i="1"/>
  <c r="D26" i="1"/>
  <c r="B35" i="1" l="1"/>
  <c r="B30" i="1"/>
  <c r="B27" i="1"/>
  <c r="B26" i="1"/>
  <c r="C41" i="1" l="1"/>
  <c r="D41" i="1"/>
  <c r="E41" i="1"/>
  <c r="F41" i="1"/>
  <c r="G41" i="1"/>
  <c r="H41" i="1"/>
  <c r="I41" i="1"/>
  <c r="J41" i="1"/>
  <c r="B41" i="1"/>
  <c r="N18" i="1"/>
  <c r="N19" i="1"/>
  <c r="N20" i="1"/>
  <c r="N21" i="1"/>
  <c r="N22" i="1"/>
  <c r="N23" i="1"/>
  <c r="N24" i="1"/>
  <c r="N17" i="1"/>
  <c r="N9" i="1"/>
  <c r="N10" i="1"/>
  <c r="N11" i="1"/>
  <c r="N12" i="1"/>
  <c r="N13" i="1"/>
  <c r="N14" i="1"/>
  <c r="N15" i="1"/>
  <c r="N8" i="1"/>
  <c r="B16" i="1" l="1"/>
  <c r="N6" i="1" l="1"/>
  <c r="N5" i="1"/>
  <c r="L16" i="1" l="1"/>
  <c r="K16" i="1"/>
  <c r="M16" i="1"/>
  <c r="K7" i="1"/>
  <c r="L7" i="1"/>
  <c r="M7" i="1"/>
  <c r="M41" i="1" l="1"/>
  <c r="M42" i="1" s="1"/>
  <c r="K41" i="1"/>
  <c r="L41" i="1"/>
  <c r="L42" i="1" s="1"/>
  <c r="K42" i="1" l="1"/>
  <c r="N41" i="1"/>
  <c r="H16" i="1"/>
  <c r="I16" i="1"/>
  <c r="J16" i="1"/>
  <c r="H7" i="1"/>
  <c r="I7" i="1"/>
  <c r="J7" i="1"/>
  <c r="F16" i="1"/>
  <c r="F7" i="1"/>
  <c r="E7" i="1" l="1"/>
  <c r="E16" i="1"/>
  <c r="E42" i="1" s="1"/>
  <c r="G7" i="1"/>
  <c r="G16" i="1"/>
  <c r="J42" i="1"/>
  <c r="I42" i="1"/>
  <c r="F42" i="1"/>
  <c r="G42" i="1" l="1"/>
  <c r="H42" i="1"/>
  <c r="D16" i="1"/>
  <c r="D7" i="1"/>
  <c r="C16" i="1"/>
  <c r="C7" i="1"/>
  <c r="B7" i="1"/>
  <c r="N7" i="1" l="1"/>
  <c r="N16" i="1"/>
  <c r="D42" i="1"/>
  <c r="C42" i="1"/>
  <c r="B45" i="1"/>
  <c r="C6" i="1" l="1"/>
  <c r="C45" i="1" s="1"/>
  <c r="D6" i="1" s="1"/>
  <c r="D45" i="1" s="1"/>
  <c r="E6" i="1" s="1"/>
  <c r="N42" i="1" l="1"/>
  <c r="N43" i="1" s="1"/>
  <c r="B42" i="1"/>
  <c r="B43" i="1" s="1"/>
  <c r="C5" i="1" l="1"/>
  <c r="C43" i="1" s="1"/>
  <c r="D5" i="1" s="1"/>
  <c r="D43" i="1" l="1"/>
  <c r="E45" i="1" l="1"/>
  <c r="F6" i="1" s="1"/>
  <c r="F45" i="1" s="1"/>
  <c r="G6" i="1" s="1"/>
  <c r="G45" i="1" s="1"/>
  <c r="H6" i="1" s="1"/>
  <c r="H45" i="1" s="1"/>
  <c r="I6" i="1" s="1"/>
  <c r="I45" i="1" s="1"/>
  <c r="J6" i="1" s="1"/>
  <c r="J45" i="1" s="1"/>
  <c r="K6" i="1" s="1"/>
  <c r="K45" i="1" s="1"/>
  <c r="L6" i="1" s="1"/>
  <c r="E5" i="1"/>
  <c r="E43" i="1" s="1"/>
  <c r="F5" i="1" s="1"/>
  <c r="F43" i="1" s="1"/>
  <c r="G5" i="1" s="1"/>
  <c r="M6" i="1" l="1"/>
  <c r="G43" i="1"/>
  <c r="H5" i="1" l="1"/>
  <c r="H43" i="1" s="1"/>
  <c r="I5" i="1" l="1"/>
  <c r="I43" i="1" s="1"/>
  <c r="J5" i="1" l="1"/>
  <c r="J43" i="1" s="1"/>
  <c r="K5" i="1" l="1"/>
  <c r="K43" i="1" s="1"/>
  <c r="L5" i="1" l="1"/>
  <c r="L43" i="1" s="1"/>
  <c r="M5" i="1" l="1"/>
  <c r="M43" i="1" s="1"/>
</calcChain>
</file>

<file path=xl/sharedStrings.xml><?xml version="1.0" encoding="utf-8"?>
<sst xmlns="http://schemas.openxmlformats.org/spreadsheetml/2006/main" count="56" uniqueCount="46">
  <si>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</si>
  <si>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</si>
  <si>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</si>
  <si>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</si>
  <si>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</si>
  <si>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</si>
  <si>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</si>
  <si>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</si>
  <si>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</si>
  <si>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</si>
  <si>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</si>
  <si>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</si>
  <si>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</si>
  <si>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</si>
  <si>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</si>
  <si>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</si>
  <si>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</si>
  <si>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</si>
  <si>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</si>
  <si>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</si>
  <si>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</si>
  <si>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</si>
  <si>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</si>
  <si>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</si>
  <si>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</si>
  <si>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Охрана общего имущества МКД</t>
  </si>
  <si>
    <t>Отведение сточных вод ОИ</t>
  </si>
  <si>
    <t>Тех.обслуживание узла учета ОДПУ</t>
  </si>
  <si>
    <t xml:space="preserve">Содержание жилья и текущий ремонт,  ОПУ 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</si>
  <si>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</si>
  <si>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</si>
  <si>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</si>
  <si>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</si>
  <si>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</si>
  <si>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</si>
  <si>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</t>
  </si>
  <si>
    <t>Август 2024г</t>
  </si>
  <si>
    <t>Сентябрь 2024г</t>
  </si>
  <si>
    <t>Октябрь 2024г</t>
  </si>
  <si>
    <t>Ноябрь 2024г</t>
  </si>
  <si>
    <t>Декабрь 2024г</t>
  </si>
  <si>
    <t>Всего:                       за  2024г.</t>
  </si>
  <si>
    <t>Вознаграждение совета МКД</t>
  </si>
  <si>
    <t>Налоги с вознаграждения совета МКД</t>
  </si>
  <si>
    <t xml:space="preserve">                 ОТЧЕТ по дому Социалистическая, 52 за период 01.01.2024г. по 31.12.2024г.</t>
  </si>
  <si>
    <t>Корректировка задолженности по решению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</si>
</sst>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C29" zoomScale="75" workbookViewId="0">
      <selection activeCell="N26" sqref="N26:N40"/>
    </sheetView>
  </sheetViews>
  <sheetFormatPr defaultRowHeight="13.2" x14ac:dyDescent="0.25"/>
  <cols>
    <col min="1" max="1" width="58.6640625" customWidth="1"/>
    <col min="2" max="2" width="13.33203125" customWidth="1"/>
    <col min="3" max="3" width="13.6640625" customWidth="1"/>
    <col min="4" max="4" width="13.88671875" customWidth="1"/>
    <col min="5" max="5" width="13.33203125" customWidth="1"/>
    <col min="6" max="6" width="13.88671875" customWidth="1"/>
    <col min="7" max="7" width="14.44140625" customWidth="1"/>
    <col min="8" max="8" width="14" customWidth="1"/>
    <col min="9" max="9" width="13.6640625" customWidth="1"/>
    <col min="10" max="13" width="14.88671875" customWidth="1"/>
    <col min="14" max="14" width="15.88671875" customWidth="1"/>
  </cols>
  <sheetData>
    <row r="1" spans="1:18" ht="20.25" customHeight="1" x14ac:dyDescent="0.35">
      <c r="A1" s="21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15</v>
      </c>
      <c r="B5" s="8">
        <v>-181178.85</v>
      </c>
      <c r="C5" s="8">
        <f t="shared" ref="C5" si="0">B43</f>
        <v>-176141.69462999998</v>
      </c>
      <c r="D5" s="8">
        <f t="shared" ref="D5" si="1">C43</f>
        <v>-148856.35395999998</v>
      </c>
      <c r="E5" s="8">
        <f t="shared" ref="E5" si="2">D43</f>
        <v>-78789.875639999984</v>
      </c>
      <c r="F5" s="8">
        <f t="shared" ref="F5" si="3">E43</f>
        <v>-78114.819799999968</v>
      </c>
      <c r="G5" s="8">
        <f t="shared" ref="G5" si="4">F43</f>
        <v>-240466.70034999997</v>
      </c>
      <c r="H5" s="8">
        <f t="shared" ref="H5" si="5">G43</f>
        <v>-223628.76166999998</v>
      </c>
      <c r="I5" s="8">
        <f t="shared" ref="I5" si="6">H43</f>
        <v>-212135.00146</v>
      </c>
      <c r="J5" s="8">
        <f t="shared" ref="J5" si="7">I43</f>
        <v>-235950.69773000001</v>
      </c>
      <c r="K5" s="8">
        <f t="shared" ref="K5" si="8">J43</f>
        <v>-215807.80475000001</v>
      </c>
      <c r="L5" s="8">
        <f t="shared" ref="L5" si="9">K43</f>
        <v>-212535.80748000002</v>
      </c>
      <c r="M5" s="8">
        <f t="shared" ref="M5" si="10">L43</f>
        <v>-194548.06511000003</v>
      </c>
      <c r="N5" s="8">
        <f>B5</f>
        <v>-181178.85</v>
      </c>
    </row>
    <row r="6" spans="1:18" ht="21" customHeight="1" thickBot="1" x14ac:dyDescent="0.3">
      <c r="A6" s="7" t="s">
        <v>13</v>
      </c>
      <c r="B6" s="8">
        <v>-253991.1</v>
      </c>
      <c r="C6" s="8">
        <f>B45</f>
        <v>-265864.12</v>
      </c>
      <c r="D6" s="8">
        <f t="shared" ref="D6" si="11">C45</f>
        <v>-261925.77</v>
      </c>
      <c r="E6" s="8">
        <f t="shared" ref="E6" si="12">D45</f>
        <v>-212772.80000000002</v>
      </c>
      <c r="F6" s="8">
        <f t="shared" ref="F6" si="13">E45</f>
        <v>-225487.43</v>
      </c>
      <c r="G6" s="8">
        <f t="shared" ref="G6" si="14">F45</f>
        <v>-230795.98</v>
      </c>
      <c r="H6" s="8">
        <f t="shared" ref="H6:M6" si="15">G45</f>
        <v>-235337.02000000002</v>
      </c>
      <c r="I6" s="8">
        <f t="shared" si="15"/>
        <v>-244803.84000000003</v>
      </c>
      <c r="J6" s="8">
        <f t="shared" si="15"/>
        <v>-259245.51</v>
      </c>
      <c r="K6" s="8">
        <f t="shared" si="15"/>
        <v>-258482.36000000002</v>
      </c>
      <c r="L6" s="8">
        <f t="shared" si="15"/>
        <v>-270194.65000000002</v>
      </c>
      <c r="M6" s="8">
        <f t="shared" si="15"/>
        <v>-268375.32000000007</v>
      </c>
      <c r="N6" s="8">
        <f>B6</f>
        <v>-253991.1</v>
      </c>
    </row>
    <row r="7" spans="1:18" ht="20.25" customHeight="1" thickBot="1" x14ac:dyDescent="0.3">
      <c r="A7" s="9" t="s">
        <v>12</v>
      </c>
      <c r="B7" s="10">
        <f t="shared" ref="B7:M7" si="16">SUM(B8:B15)</f>
        <v>81722.200000000012</v>
      </c>
      <c r="C7" s="10">
        <f t="shared" si="16"/>
        <v>82288.010000000009</v>
      </c>
      <c r="D7" s="10">
        <f t="shared" si="16"/>
        <v>80756.24000000002</v>
      </c>
      <c r="E7" s="10">
        <f t="shared" si="16"/>
        <v>81063.250000000015</v>
      </c>
      <c r="F7" s="10">
        <f t="shared" si="16"/>
        <v>83873.050000000017</v>
      </c>
      <c r="G7" s="10">
        <f t="shared" si="16"/>
        <v>79939.030000000013</v>
      </c>
      <c r="H7" s="10">
        <f t="shared" si="16"/>
        <v>83937.85</v>
      </c>
      <c r="I7" s="10">
        <f t="shared" si="16"/>
        <v>88585.87</v>
      </c>
      <c r="J7" s="10">
        <f t="shared" si="16"/>
        <v>82892.19</v>
      </c>
      <c r="K7" s="10">
        <f t="shared" si="16"/>
        <v>84805.09</v>
      </c>
      <c r="L7" s="10">
        <f t="shared" si="16"/>
        <v>83121.91</v>
      </c>
      <c r="M7" s="10">
        <f t="shared" si="16"/>
        <v>81451.3</v>
      </c>
      <c r="N7" s="10">
        <f>SUM(B7:M7)</f>
        <v>994435.99000000022</v>
      </c>
    </row>
    <row r="8" spans="1:18" ht="24.75" customHeight="1" thickBot="1" x14ac:dyDescent="0.3">
      <c r="A8" s="4" t="s">
        <v>28</v>
      </c>
      <c r="B8" s="11">
        <f t="shared" ref="B8:G8" si="17">70016.22+1477.47</f>
        <v>71493.69</v>
      </c>
      <c r="C8" s="11">
        <f t="shared" si="17"/>
        <v>71493.69</v>
      </c>
      <c r="D8" s="11">
        <f t="shared" si="17"/>
        <v>71493.69</v>
      </c>
      <c r="E8" s="11">
        <f t="shared" si="17"/>
        <v>71493.69</v>
      </c>
      <c r="F8" s="11">
        <f t="shared" si="17"/>
        <v>71493.69</v>
      </c>
      <c r="G8" s="11">
        <f t="shared" si="17"/>
        <v>71493.69</v>
      </c>
      <c r="H8" s="11">
        <f t="shared" ref="H8:M8" si="18">70016.22+1477.47</f>
        <v>71493.69</v>
      </c>
      <c r="I8" s="11">
        <f t="shared" si="18"/>
        <v>71493.69</v>
      </c>
      <c r="J8" s="11">
        <f t="shared" si="18"/>
        <v>71493.69</v>
      </c>
      <c r="K8" s="11">
        <f t="shared" si="18"/>
        <v>71493.69</v>
      </c>
      <c r="L8" s="11">
        <f t="shared" si="18"/>
        <v>71493.69</v>
      </c>
      <c r="M8" s="11">
        <f t="shared" si="18"/>
        <v>71493.69</v>
      </c>
      <c r="N8" s="11">
        <f>SUM(B8:M8)</f>
        <v>857924.2799999998</v>
      </c>
    </row>
    <row r="9" spans="1:18" ht="24.75" customHeight="1" thickBot="1" x14ac:dyDescent="0.3">
      <c r="A9" s="4" t="s">
        <v>16</v>
      </c>
      <c r="B9" s="11">
        <v>2111.48</v>
      </c>
      <c r="C9" s="11">
        <v>2111.48</v>
      </c>
      <c r="D9" s="11">
        <v>2111.48</v>
      </c>
      <c r="E9" s="11">
        <v>2111.48</v>
      </c>
      <c r="F9" s="11">
        <v>2111.48</v>
      </c>
      <c r="G9" s="11">
        <v>2111.48</v>
      </c>
      <c r="H9" s="11">
        <v>2111.48</v>
      </c>
      <c r="I9" s="11">
        <v>2111.48</v>
      </c>
      <c r="J9" s="11">
        <v>2111.48</v>
      </c>
      <c r="K9" s="11">
        <v>2111.48</v>
      </c>
      <c r="L9" s="11">
        <v>2111.48</v>
      </c>
      <c r="M9" s="11">
        <v>2111.48</v>
      </c>
      <c r="N9" s="11">
        <f t="shared" ref="N9:N15" si="19">SUM(B9:M9)</f>
        <v>25337.759999999998</v>
      </c>
    </row>
    <row r="10" spans="1:18" ht="24.75" customHeight="1" thickBot="1" x14ac:dyDescent="0.3">
      <c r="A10" s="4" t="s">
        <v>17</v>
      </c>
      <c r="B10" s="11">
        <f>1731.12+52.1</f>
        <v>1783.2199999999998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f>431.02+12.78</f>
        <v>443.79999999999995</v>
      </c>
      <c r="J10" s="11">
        <v>0</v>
      </c>
      <c r="K10" s="11">
        <f>1856.87+56.03</f>
        <v>1912.8999999999999</v>
      </c>
      <c r="L10" s="11">
        <v>517.67999999999995</v>
      </c>
      <c r="M10" s="11">
        <f>1174.7+35.39</f>
        <v>1210.0900000000001</v>
      </c>
      <c r="N10" s="11">
        <f t="shared" si="19"/>
        <v>5867.69</v>
      </c>
    </row>
    <row r="11" spans="1:18" ht="24.75" customHeight="1" thickBot="1" x14ac:dyDescent="0.3">
      <c r="A11" s="4" t="s">
        <v>18</v>
      </c>
      <c r="B11" s="11">
        <f>250.33+7.86</f>
        <v>258.19</v>
      </c>
      <c r="C11" s="11">
        <f>250.33+7.86</f>
        <v>258.19</v>
      </c>
      <c r="D11" s="11">
        <f>250.38+7.86</f>
        <v>258.24</v>
      </c>
      <c r="E11" s="11">
        <f>250.38+7.86</f>
        <v>258.24</v>
      </c>
      <c r="F11" s="11">
        <f>250.38+7.86</f>
        <v>258.24</v>
      </c>
      <c r="G11" s="11">
        <f>250.38+7.86</f>
        <v>258.24</v>
      </c>
      <c r="H11" s="11">
        <f>276.61+7.86</f>
        <v>284.47000000000003</v>
      </c>
      <c r="I11" s="11">
        <f>276.61+7.86</f>
        <v>284.47000000000003</v>
      </c>
      <c r="J11" s="11">
        <f>276.61+7.86</f>
        <v>284.47000000000003</v>
      </c>
      <c r="K11" s="11">
        <f>276.61+7.86</f>
        <v>284.47000000000003</v>
      </c>
      <c r="L11" s="11">
        <f>276.61+7.86</f>
        <v>284.47000000000003</v>
      </c>
      <c r="M11" s="11">
        <f>276.61+7.86</f>
        <v>284.47000000000003</v>
      </c>
      <c r="N11" s="11">
        <f t="shared" si="19"/>
        <v>3256.1600000000008</v>
      </c>
    </row>
    <row r="12" spans="1:18" ht="24.75" customHeight="1" thickBot="1" x14ac:dyDescent="0.3">
      <c r="A12" s="4" t="s">
        <v>19</v>
      </c>
      <c r="B12" s="11">
        <v>0</v>
      </c>
      <c r="C12" s="11">
        <f>2280.22+68.81</f>
        <v>2349.0299999999997</v>
      </c>
      <c r="D12" s="11">
        <f>793.62+23.59</f>
        <v>817.21</v>
      </c>
      <c r="E12" s="11">
        <f>1091.78+32.44</f>
        <v>1124.22</v>
      </c>
      <c r="F12" s="11">
        <f>3819.01+115.01</f>
        <v>3934.0200000000004</v>
      </c>
      <c r="G12" s="11">
        <v>0</v>
      </c>
      <c r="H12" s="11">
        <f>1015.19+30.47</f>
        <v>1045.6600000000001</v>
      </c>
      <c r="I12" s="11">
        <f>5096.53+153.35</f>
        <v>5249.88</v>
      </c>
      <c r="J12" s="11">
        <v>0</v>
      </c>
      <c r="K12" s="11">
        <v>0</v>
      </c>
      <c r="L12" s="11">
        <v>0</v>
      </c>
      <c r="M12" s="11">
        <v>0</v>
      </c>
      <c r="N12" s="11">
        <f t="shared" si="19"/>
        <v>14520.02</v>
      </c>
    </row>
    <row r="13" spans="1:18" ht="24.75" customHeight="1" thickBot="1" x14ac:dyDescent="0.3">
      <c r="A13" s="4" t="s">
        <v>42</v>
      </c>
      <c r="B13" s="11">
        <v>4307.8</v>
      </c>
      <c r="C13" s="11">
        <v>4307.8</v>
      </c>
      <c r="D13" s="11">
        <v>4307.8</v>
      </c>
      <c r="E13" s="11">
        <v>4307.8</v>
      </c>
      <c r="F13" s="11">
        <v>4307.8</v>
      </c>
      <c r="G13" s="11">
        <v>4307.8</v>
      </c>
      <c r="H13" s="11">
        <v>7157.68</v>
      </c>
      <c r="I13" s="11">
        <v>7157.68</v>
      </c>
      <c r="J13" s="11">
        <v>7157.68</v>
      </c>
      <c r="K13" s="11">
        <v>7157.68</v>
      </c>
      <c r="L13" s="11">
        <v>7157.68</v>
      </c>
      <c r="M13" s="11">
        <v>7157.68</v>
      </c>
      <c r="N13" s="11">
        <f t="shared" si="19"/>
        <v>68792.88</v>
      </c>
    </row>
    <row r="14" spans="1:18" ht="24.75" customHeight="1" thickBot="1" x14ac:dyDescent="0.3">
      <c r="A14" s="4" t="s">
        <v>26</v>
      </c>
      <c r="B14" s="11">
        <f t="shared" ref="B14:G14" si="20">483.07+14.75</f>
        <v>497.82</v>
      </c>
      <c r="C14" s="11">
        <f t="shared" si="20"/>
        <v>497.82</v>
      </c>
      <c r="D14" s="11">
        <f t="shared" si="20"/>
        <v>497.82</v>
      </c>
      <c r="E14" s="11">
        <f t="shared" si="20"/>
        <v>497.82</v>
      </c>
      <c r="F14" s="11">
        <f t="shared" si="20"/>
        <v>497.82</v>
      </c>
      <c r="G14" s="11">
        <f t="shared" si="20"/>
        <v>497.82</v>
      </c>
      <c r="H14" s="11">
        <f>558.16+16.71</f>
        <v>574.87</v>
      </c>
      <c r="I14" s="11">
        <f>558.16+16.71</f>
        <v>574.87</v>
      </c>
      <c r="J14" s="11">
        <f>558.16+16.71</f>
        <v>574.87</v>
      </c>
      <c r="K14" s="11">
        <f>558.16+16.71</f>
        <v>574.87</v>
      </c>
      <c r="L14" s="11">
        <f>279.05+7.86</f>
        <v>286.91000000000003</v>
      </c>
      <c r="M14" s="11">
        <v>-2076.11</v>
      </c>
      <c r="N14" s="11">
        <f t="shared" si="19"/>
        <v>3497.1999999999994</v>
      </c>
    </row>
    <row r="15" spans="1:18" ht="24.75" customHeight="1" thickBot="1" x14ac:dyDescent="0.3">
      <c r="A15" s="4" t="s">
        <v>14</v>
      </c>
      <c r="B15" s="11">
        <v>1270</v>
      </c>
      <c r="C15" s="11">
        <v>1270</v>
      </c>
      <c r="D15" s="11">
        <v>1270</v>
      </c>
      <c r="E15" s="11">
        <v>1270</v>
      </c>
      <c r="F15" s="11">
        <v>1270</v>
      </c>
      <c r="G15" s="11">
        <v>1270</v>
      </c>
      <c r="H15" s="11">
        <v>1270</v>
      </c>
      <c r="I15" s="11">
        <v>1270</v>
      </c>
      <c r="J15" s="11">
        <v>1270</v>
      </c>
      <c r="K15" s="11">
        <v>1270</v>
      </c>
      <c r="L15" s="11">
        <v>1270</v>
      </c>
      <c r="M15" s="11">
        <v>1270</v>
      </c>
      <c r="N15" s="11">
        <f t="shared" si="19"/>
        <v>15240</v>
      </c>
    </row>
    <row r="16" spans="1:18" ht="20.25" customHeight="1" thickBot="1" x14ac:dyDescent="0.3">
      <c r="A16" s="12" t="s">
        <v>8</v>
      </c>
      <c r="B16" s="13">
        <f t="shared" ref="B16:M16" si="21">SUM(B17:B24)</f>
        <v>69849.180000000008</v>
      </c>
      <c r="C16" s="13">
        <f t="shared" si="21"/>
        <v>86226.360000000015</v>
      </c>
      <c r="D16" s="13">
        <f t="shared" si="21"/>
        <v>129909.20999999999</v>
      </c>
      <c r="E16" s="13">
        <f t="shared" si="21"/>
        <v>68348.62000000001</v>
      </c>
      <c r="F16" s="13">
        <f t="shared" si="21"/>
        <v>78564.499999999985</v>
      </c>
      <c r="G16" s="13">
        <f t="shared" si="21"/>
        <v>75397.990000000005</v>
      </c>
      <c r="H16" s="13">
        <f t="shared" si="21"/>
        <v>74471.03</v>
      </c>
      <c r="I16" s="13">
        <f t="shared" si="21"/>
        <v>74144.2</v>
      </c>
      <c r="J16" s="13">
        <f t="shared" si="21"/>
        <v>83655.34</v>
      </c>
      <c r="K16" s="13">
        <f t="shared" si="21"/>
        <v>73092.799999999988</v>
      </c>
      <c r="L16" s="13">
        <f t="shared" si="21"/>
        <v>79453.659999999989</v>
      </c>
      <c r="M16" s="13">
        <f t="shared" si="21"/>
        <v>82505.279999999999</v>
      </c>
      <c r="N16" s="13">
        <f>SUM(B16:M16)</f>
        <v>975618.17</v>
      </c>
    </row>
    <row r="17" spans="1:15" ht="24" customHeight="1" thickBot="1" x14ac:dyDescent="0.3">
      <c r="A17" s="4" t="s">
        <v>28</v>
      </c>
      <c r="B17" s="11">
        <f>61241.09+1253.83</f>
        <v>62494.92</v>
      </c>
      <c r="C17" s="11">
        <f>72483.16+1404.64</f>
        <v>73887.8</v>
      </c>
      <c r="D17" s="11">
        <f>61185.25+2356.69</f>
        <v>63541.94</v>
      </c>
      <c r="E17" s="11">
        <f>61401.76+1308.49</f>
        <v>62710.25</v>
      </c>
      <c r="F17" s="11">
        <f>66746.44+1280.15</f>
        <v>68026.59</v>
      </c>
      <c r="G17" s="11">
        <f>63629.42+1295.4</f>
        <v>64924.82</v>
      </c>
      <c r="H17" s="11">
        <f>63945.01+1345.07</f>
        <v>65290.080000000002</v>
      </c>
      <c r="I17" s="11">
        <f>61199.02+1250.07</f>
        <v>62449.09</v>
      </c>
      <c r="J17" s="11">
        <f>67071.32+1509.36</f>
        <v>68580.680000000008</v>
      </c>
      <c r="K17" s="11">
        <f>61118.96+1256.2</f>
        <v>62375.159999999996</v>
      </c>
      <c r="L17" s="11">
        <f>66200.11+1697.43</f>
        <v>67897.539999999994</v>
      </c>
      <c r="M17" s="11">
        <f>69197.1+1416.76</f>
        <v>70613.86</v>
      </c>
      <c r="N17" s="11">
        <f>SUM(B17:M17)</f>
        <v>792792.7300000001</v>
      </c>
    </row>
    <row r="18" spans="1:15" ht="26.25" customHeight="1" thickBot="1" x14ac:dyDescent="0.3">
      <c r="A18" s="4" t="s">
        <v>16</v>
      </c>
      <c r="B18" s="11">
        <v>0</v>
      </c>
      <c r="C18" s="11">
        <v>0</v>
      </c>
      <c r="D18" s="11">
        <f>52435.11+3975.54</f>
        <v>56410.65</v>
      </c>
      <c r="E18" s="11">
        <v>0</v>
      </c>
      <c r="F18" s="11">
        <f>2111.48*2</f>
        <v>4222.96</v>
      </c>
      <c r="G18" s="11">
        <v>2111.48</v>
      </c>
      <c r="H18" s="11">
        <v>2111.48</v>
      </c>
      <c r="I18" s="11">
        <v>2111.48</v>
      </c>
      <c r="J18" s="11">
        <v>2111.48</v>
      </c>
      <c r="K18" s="11">
        <v>2111.48</v>
      </c>
      <c r="L18" s="11">
        <v>2111.48</v>
      </c>
      <c r="M18" s="11">
        <v>2111.48</v>
      </c>
      <c r="N18" s="11">
        <f t="shared" ref="N18:N24" si="22">SUM(B18:M18)</f>
        <v>75413.969999999987</v>
      </c>
    </row>
    <row r="19" spans="1:15" ht="26.25" customHeight="1" thickBot="1" x14ac:dyDescent="0.3">
      <c r="A19" s="4" t="s">
        <v>17</v>
      </c>
      <c r="B19" s="11">
        <v>0.94</v>
      </c>
      <c r="C19" s="11">
        <v>1559.87</v>
      </c>
      <c r="D19" s="11">
        <f>28.38+902.23</f>
        <v>930.61</v>
      </c>
      <c r="E19" s="11">
        <v>6.53</v>
      </c>
      <c r="F19" s="11">
        <v>27.29</v>
      </c>
      <c r="G19" s="11">
        <v>4.04</v>
      </c>
      <c r="H19" s="11">
        <v>3.94</v>
      </c>
      <c r="I19" s="11">
        <v>3.26</v>
      </c>
      <c r="J19" s="11">
        <f>364.36+12.78</f>
        <v>377.14</v>
      </c>
      <c r="K19" s="11">
        <v>9.9499999999999993</v>
      </c>
      <c r="L19" s="11">
        <v>1614.33</v>
      </c>
      <c r="M19" s="11">
        <v>0.24</v>
      </c>
      <c r="N19" s="11">
        <f t="shared" si="22"/>
        <v>4538.1399999999994</v>
      </c>
    </row>
    <row r="20" spans="1:15" ht="26.25" customHeight="1" thickBot="1" x14ac:dyDescent="0.3">
      <c r="A20" s="4" t="s">
        <v>18</v>
      </c>
      <c r="B20" s="11">
        <v>218.94</v>
      </c>
      <c r="C20" s="11">
        <v>259.77</v>
      </c>
      <c r="D20" s="11">
        <f>218.75+604.36</f>
        <v>823.11</v>
      </c>
      <c r="E20" s="11">
        <v>219.55</v>
      </c>
      <c r="F20" s="11">
        <f>239+7.86*2</f>
        <v>254.72</v>
      </c>
      <c r="G20" s="11">
        <f>227.53+7.86</f>
        <v>235.39000000000001</v>
      </c>
      <c r="H20" s="11">
        <f>228.71+7.86</f>
        <v>236.57000000000002</v>
      </c>
      <c r="I20" s="11">
        <f>240.34+7.86</f>
        <v>248.20000000000002</v>
      </c>
      <c r="J20" s="11">
        <f>262.78+7.86</f>
        <v>270.64</v>
      </c>
      <c r="K20" s="11">
        <f>241.27+7.86</f>
        <v>249.13000000000002</v>
      </c>
      <c r="L20" s="11">
        <f>260.93+7.86</f>
        <v>268.79000000000002</v>
      </c>
      <c r="M20" s="11">
        <f>271.82+7.86</f>
        <v>279.68</v>
      </c>
      <c r="N20" s="11">
        <f t="shared" si="22"/>
        <v>3564.49</v>
      </c>
    </row>
    <row r="21" spans="1:15" ht="26.25" customHeight="1" thickBot="1" x14ac:dyDescent="0.3">
      <c r="A21" s="4" t="s">
        <v>19</v>
      </c>
      <c r="B21" s="11">
        <v>37.58</v>
      </c>
      <c r="C21" s="11">
        <v>185.91</v>
      </c>
      <c r="D21" s="11">
        <f>1926.32+1107.29</f>
        <v>3033.6099999999997</v>
      </c>
      <c r="E21" s="11">
        <v>714.39</v>
      </c>
      <c r="F21" s="11">
        <f>1065.15+23.59+32.44</f>
        <v>1121.18</v>
      </c>
      <c r="G21" s="11">
        <f>3240.98+115.01</f>
        <v>3355.9900000000002</v>
      </c>
      <c r="H21" s="11">
        <v>207.92</v>
      </c>
      <c r="I21" s="11">
        <f>863.52+30.47</f>
        <v>893.99</v>
      </c>
      <c r="J21" s="11">
        <f>4367.14+153.35</f>
        <v>4520.4900000000007</v>
      </c>
      <c r="K21" s="11">
        <v>122.72</v>
      </c>
      <c r="L21" s="11">
        <v>103.23</v>
      </c>
      <c r="M21" s="11">
        <v>195.9</v>
      </c>
      <c r="N21" s="11">
        <f t="shared" si="22"/>
        <v>14492.91</v>
      </c>
    </row>
    <row r="22" spans="1:15" ht="26.25" customHeight="1" thickBot="1" x14ac:dyDescent="0.3">
      <c r="A22" s="4" t="s">
        <v>42</v>
      </c>
      <c r="B22" s="11">
        <v>3674.3</v>
      </c>
      <c r="C22" s="11">
        <v>4235.9399999999996</v>
      </c>
      <c r="D22" s="11">
        <v>3610.95</v>
      </c>
      <c r="E22" s="11">
        <v>3674.3</v>
      </c>
      <c r="F22" s="11">
        <v>3823.26</v>
      </c>
      <c r="G22" s="11">
        <v>3712.71</v>
      </c>
      <c r="H22" s="11">
        <v>4965.09</v>
      </c>
      <c r="I22" s="11">
        <v>6287.59</v>
      </c>
      <c r="J22" s="11">
        <v>6649.76</v>
      </c>
      <c r="K22" s="11">
        <v>6220.93</v>
      </c>
      <c r="L22" s="11">
        <v>6315.6</v>
      </c>
      <c r="M22" s="11">
        <v>6610.91</v>
      </c>
      <c r="N22" s="11">
        <f t="shared" si="22"/>
        <v>59781.34</v>
      </c>
    </row>
    <row r="23" spans="1:15" ht="26.25" customHeight="1" thickBot="1" x14ac:dyDescent="0.3">
      <c r="A23" s="4" t="s">
        <v>26</v>
      </c>
      <c r="B23" s="11">
        <v>422.5</v>
      </c>
      <c r="C23" s="11">
        <v>497.07</v>
      </c>
      <c r="D23" s="11">
        <f>422.12+536.22</f>
        <v>958.34</v>
      </c>
      <c r="E23" s="11">
        <v>423.6</v>
      </c>
      <c r="F23" s="11">
        <f>459+14.75*2</f>
        <v>488.5</v>
      </c>
      <c r="G23" s="11">
        <f>438.81+14.75</f>
        <v>453.56</v>
      </c>
      <c r="H23" s="11">
        <f>441.2+14.75</f>
        <v>455.95</v>
      </c>
      <c r="I23" s="11">
        <f>483.88+16.71</f>
        <v>500.59</v>
      </c>
      <c r="J23" s="11">
        <f>528.44+16.71</f>
        <v>545.15000000000009</v>
      </c>
      <c r="K23" s="11">
        <f>486.72+16.71</f>
        <v>503.43</v>
      </c>
      <c r="L23" s="11">
        <f>525.98+16.71</f>
        <v>542.69000000000005</v>
      </c>
      <c r="M23" s="11">
        <f>285.35+7.86</f>
        <v>293.21000000000004</v>
      </c>
      <c r="N23" s="11">
        <f t="shared" si="22"/>
        <v>6084.5900000000011</v>
      </c>
    </row>
    <row r="24" spans="1:15" ht="26.25" customHeight="1" thickBot="1" x14ac:dyDescent="0.3">
      <c r="A24" s="4" t="s">
        <v>14</v>
      </c>
      <c r="B24" s="14">
        <v>3000</v>
      </c>
      <c r="C24" s="14">
        <v>5600</v>
      </c>
      <c r="D24" s="14">
        <v>600</v>
      </c>
      <c r="E24" s="14">
        <v>600</v>
      </c>
      <c r="F24" s="14">
        <v>600</v>
      </c>
      <c r="G24" s="14">
        <v>600</v>
      </c>
      <c r="H24" s="14">
        <v>1200</v>
      </c>
      <c r="I24" s="14">
        <v>1650</v>
      </c>
      <c r="J24" s="14">
        <v>600</v>
      </c>
      <c r="K24" s="11">
        <v>1500</v>
      </c>
      <c r="L24" s="11">
        <v>600</v>
      </c>
      <c r="M24" s="11">
        <v>2400</v>
      </c>
      <c r="N24" s="11">
        <f t="shared" si="22"/>
        <v>18950</v>
      </c>
      <c r="O24" s="3"/>
    </row>
    <row r="25" spans="1:15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M26" si="23">3357.9*0.6</f>
        <v>2014.74</v>
      </c>
      <c r="C26" s="11">
        <f t="shared" si="23"/>
        <v>2014.74</v>
      </c>
      <c r="D26" s="11">
        <f t="shared" si="23"/>
        <v>2014.74</v>
      </c>
      <c r="E26" s="11">
        <f t="shared" si="23"/>
        <v>2014.74</v>
      </c>
      <c r="F26" s="11">
        <f t="shared" si="23"/>
        <v>2014.74</v>
      </c>
      <c r="G26" s="11">
        <f t="shared" si="23"/>
        <v>2014.74</v>
      </c>
      <c r="H26" s="11">
        <f t="shared" si="23"/>
        <v>2014.74</v>
      </c>
      <c r="I26" s="11">
        <f t="shared" si="23"/>
        <v>2014.74</v>
      </c>
      <c r="J26" s="11">
        <f t="shared" si="23"/>
        <v>2014.74</v>
      </c>
      <c r="K26" s="11">
        <f t="shared" si="23"/>
        <v>2014.74</v>
      </c>
      <c r="L26" s="11">
        <f t="shared" si="23"/>
        <v>2014.74</v>
      </c>
      <c r="M26" s="11">
        <f t="shared" si="23"/>
        <v>2014.74</v>
      </c>
      <c r="N26" s="11">
        <f>SUM(B26:M26)</f>
        <v>24176.880000000005</v>
      </c>
    </row>
    <row r="27" spans="1:15" ht="22.5" customHeight="1" thickBot="1" x14ac:dyDescent="0.3">
      <c r="A27" s="4" t="s">
        <v>2</v>
      </c>
      <c r="B27" s="11">
        <f t="shared" ref="B27:M27" si="24">3357.9*0.17</f>
        <v>570.84300000000007</v>
      </c>
      <c r="C27" s="11">
        <f t="shared" si="24"/>
        <v>570.84300000000007</v>
      </c>
      <c r="D27" s="11">
        <f t="shared" si="24"/>
        <v>570.84300000000007</v>
      </c>
      <c r="E27" s="11">
        <f t="shared" si="24"/>
        <v>570.84300000000007</v>
      </c>
      <c r="F27" s="11">
        <f t="shared" si="24"/>
        <v>570.84300000000007</v>
      </c>
      <c r="G27" s="11">
        <f t="shared" si="24"/>
        <v>570.84300000000007</v>
      </c>
      <c r="H27" s="11">
        <f t="shared" si="24"/>
        <v>570.84300000000007</v>
      </c>
      <c r="I27" s="11">
        <f t="shared" si="24"/>
        <v>570.84300000000007</v>
      </c>
      <c r="J27" s="11">
        <f t="shared" si="24"/>
        <v>570.84300000000007</v>
      </c>
      <c r="K27" s="11">
        <f t="shared" si="24"/>
        <v>570.84300000000007</v>
      </c>
      <c r="L27" s="11">
        <f t="shared" si="24"/>
        <v>570.84300000000007</v>
      </c>
      <c r="M27" s="11">
        <f t="shared" si="24"/>
        <v>570.84300000000007</v>
      </c>
      <c r="N27" s="11">
        <f t="shared" ref="N27:N40" si="25">SUM(B27:M27)</f>
        <v>6850.1159999999991</v>
      </c>
    </row>
    <row r="28" spans="1:15" ht="21" customHeight="1" thickBot="1" x14ac:dyDescent="0.3">
      <c r="A28" s="4" t="s">
        <v>3</v>
      </c>
      <c r="B28" s="11">
        <f>78266.01*2.3%</f>
        <v>1800.1182299999998</v>
      </c>
      <c r="C28" s="11">
        <f>78815.11*2.3%</f>
        <v>1812.7475299999999</v>
      </c>
      <c r="D28" s="11">
        <f>77328.56*2.3%</f>
        <v>1778.5568799999999</v>
      </c>
      <c r="E28" s="11">
        <f>77626.72*2.3%</f>
        <v>1785.4145599999999</v>
      </c>
      <c r="F28" s="11">
        <f>80353.95*2.3%</f>
        <v>1848.14085</v>
      </c>
      <c r="G28" s="11">
        <f>76534.94*2.3%</f>
        <v>1760.3036200000001</v>
      </c>
      <c r="H28" s="11">
        <f>80501.33*2.3%</f>
        <v>1851.5305900000001</v>
      </c>
      <c r="I28" s="11">
        <f>85013.69*2.3%</f>
        <v>1955.3148699999999</v>
      </c>
      <c r="J28" s="11">
        <f>79486.14*2.3%</f>
        <v>1828.1812199999999</v>
      </c>
      <c r="K28" s="11">
        <f>81343.01*2.3%</f>
        <v>1870.8892299999998</v>
      </c>
      <c r="L28" s="11">
        <f>79724.71*2.3%</f>
        <v>1833.6683300000002</v>
      </c>
      <c r="M28" s="11">
        <f>78026.57*2.3%</f>
        <v>1794.6111100000001</v>
      </c>
      <c r="N28" s="11">
        <f t="shared" si="25"/>
        <v>21919.477020000002</v>
      </c>
    </row>
    <row r="29" spans="1:15" ht="23.25" customHeight="1" thickBot="1" x14ac:dyDescent="0.3">
      <c r="A29" s="4" t="s">
        <v>4</v>
      </c>
      <c r="B29" s="11">
        <f>66849.18*3%</f>
        <v>2005.4753999999998</v>
      </c>
      <c r="C29" s="11">
        <f>80626.36*3%</f>
        <v>2418.7907999999998</v>
      </c>
      <c r="D29" s="11">
        <f>69748.46*3%</f>
        <v>2092.4538000000002</v>
      </c>
      <c r="E29" s="11">
        <f>67748.62*3%</f>
        <v>2032.4585999999997</v>
      </c>
      <c r="F29" s="11">
        <f>73640.29*3%</f>
        <v>2209.2086999999997</v>
      </c>
      <c r="G29" s="11">
        <f>72548.89*3%</f>
        <v>2176.4666999999999</v>
      </c>
      <c r="H29" s="11">
        <f>71136.94*3%</f>
        <v>2134.1082000000001</v>
      </c>
      <c r="I29" s="11">
        <f>70327.68*3%</f>
        <v>2109.8303999999998</v>
      </c>
      <c r="J29" s="11">
        <f>80753.16*3%</f>
        <v>2422.5947999999999</v>
      </c>
      <c r="K29" s="11">
        <f>69456.75*3%</f>
        <v>2083.7024999999999</v>
      </c>
      <c r="L29" s="11">
        <f>76717.61*3%</f>
        <v>2301.5282999999999</v>
      </c>
      <c r="M29" s="11">
        <f>77978.08*3%</f>
        <v>2339.3424</v>
      </c>
      <c r="N29" s="11">
        <f t="shared" si="25"/>
        <v>26325.960599999999</v>
      </c>
    </row>
    <row r="30" spans="1:15" ht="23.25" customHeight="1" thickBot="1" x14ac:dyDescent="0.3">
      <c r="A30" s="4" t="s">
        <v>9</v>
      </c>
      <c r="B30" s="20">
        <f t="shared" ref="B30:M30" si="26">3357.9*9.7</f>
        <v>32571.629999999997</v>
      </c>
      <c r="C30" s="20">
        <f t="shared" si="26"/>
        <v>32571.629999999997</v>
      </c>
      <c r="D30" s="20">
        <f t="shared" si="26"/>
        <v>32571.629999999997</v>
      </c>
      <c r="E30" s="20">
        <f t="shared" si="26"/>
        <v>32571.629999999997</v>
      </c>
      <c r="F30" s="20">
        <f t="shared" si="26"/>
        <v>32571.629999999997</v>
      </c>
      <c r="G30" s="20">
        <f t="shared" si="26"/>
        <v>32571.629999999997</v>
      </c>
      <c r="H30" s="20">
        <f t="shared" si="26"/>
        <v>32571.629999999997</v>
      </c>
      <c r="I30" s="20">
        <f t="shared" si="26"/>
        <v>32571.629999999997</v>
      </c>
      <c r="J30" s="20">
        <f t="shared" si="26"/>
        <v>32571.629999999997</v>
      </c>
      <c r="K30" s="20">
        <f t="shared" si="26"/>
        <v>32571.629999999997</v>
      </c>
      <c r="L30" s="20">
        <f t="shared" si="26"/>
        <v>32571.629999999997</v>
      </c>
      <c r="M30" s="20">
        <f t="shared" si="26"/>
        <v>32571.629999999997</v>
      </c>
      <c r="N30" s="11">
        <f t="shared" si="25"/>
        <v>390859.56</v>
      </c>
    </row>
    <row r="31" spans="1:15" ht="26.25" customHeight="1" thickBot="1" x14ac:dyDescent="0.3">
      <c r="A31" s="4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f>397.26+46.73</f>
        <v>443.99</v>
      </c>
      <c r="I31" s="11">
        <v>0</v>
      </c>
      <c r="J31" s="11">
        <f>1711.57+201.35</f>
        <v>1912.9199999999998</v>
      </c>
      <c r="K31" s="11">
        <f>477.17+56.12</f>
        <v>533.29</v>
      </c>
      <c r="L31" s="11">
        <f>1082.75+127.38</f>
        <v>1210.1300000000001</v>
      </c>
      <c r="M31" s="11">
        <f>1082.75+127.38</f>
        <v>1210.1300000000001</v>
      </c>
      <c r="N31" s="11">
        <f t="shared" si="25"/>
        <v>5310.46</v>
      </c>
    </row>
    <row r="32" spans="1:15" ht="26.25" customHeight="1" thickBot="1" x14ac:dyDescent="0.3">
      <c r="A32" s="4" t="s">
        <v>21</v>
      </c>
      <c r="B32" s="11">
        <v>386.89</v>
      </c>
      <c r="C32" s="11">
        <v>386.89</v>
      </c>
      <c r="D32" s="11">
        <v>386.89</v>
      </c>
      <c r="E32" s="11">
        <v>386.89</v>
      </c>
      <c r="F32" s="11">
        <v>386.89</v>
      </c>
      <c r="G32" s="11">
        <v>386.89</v>
      </c>
      <c r="H32" s="11">
        <v>427.48</v>
      </c>
      <c r="I32" s="11">
        <v>427.48</v>
      </c>
      <c r="J32" s="11">
        <v>427.48</v>
      </c>
      <c r="K32" s="11">
        <v>427.48</v>
      </c>
      <c r="L32" s="11">
        <v>427.48</v>
      </c>
      <c r="M32" s="11">
        <v>427.48</v>
      </c>
      <c r="N32" s="11">
        <f t="shared" si="25"/>
        <v>4886.2199999999993</v>
      </c>
    </row>
    <row r="33" spans="1:14" ht="26.25" customHeight="1" thickBot="1" x14ac:dyDescent="0.3">
      <c r="A33" s="4" t="s">
        <v>22</v>
      </c>
      <c r="B33" s="11">
        <v>2348.9</v>
      </c>
      <c r="C33" s="11">
        <v>817.55</v>
      </c>
      <c r="D33" s="11">
        <v>1124.6500000000001</v>
      </c>
      <c r="E33" s="11">
        <v>3934.2</v>
      </c>
      <c r="F33" s="11">
        <v>0</v>
      </c>
      <c r="G33" s="11">
        <v>1045.8</v>
      </c>
      <c r="H33" s="11">
        <v>5250.27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 t="shared" si="25"/>
        <v>14521.369999999999</v>
      </c>
    </row>
    <row r="34" spans="1:14" ht="26.25" customHeight="1" thickBot="1" x14ac:dyDescent="0.3">
      <c r="A34" s="4" t="s">
        <v>26</v>
      </c>
      <c r="B34" s="11">
        <v>497.69</v>
      </c>
      <c r="C34" s="11">
        <v>497.69</v>
      </c>
      <c r="D34" s="11">
        <v>497.69</v>
      </c>
      <c r="E34" s="11">
        <v>497.69</v>
      </c>
      <c r="F34" s="11">
        <v>497.69</v>
      </c>
      <c r="G34" s="11">
        <v>497.69</v>
      </c>
      <c r="H34" s="11">
        <v>287.52999999999997</v>
      </c>
      <c r="I34" s="11">
        <v>287.52999999999997</v>
      </c>
      <c r="J34" s="11">
        <v>287.52999999999997</v>
      </c>
      <c r="K34" s="11">
        <v>287.52999999999997</v>
      </c>
      <c r="L34" s="11">
        <v>287.52999999999997</v>
      </c>
      <c r="M34" s="11">
        <v>287.52999999999997</v>
      </c>
      <c r="N34" s="11">
        <f t="shared" si="25"/>
        <v>4711.3199999999988</v>
      </c>
    </row>
    <row r="35" spans="1:14" ht="22.5" customHeight="1" thickBot="1" x14ac:dyDescent="0.3">
      <c r="A35" s="4" t="s">
        <v>6</v>
      </c>
      <c r="B35" s="20">
        <f t="shared" ref="B35:M35" si="27">3357.9*3.22</f>
        <v>10812.438</v>
      </c>
      <c r="C35" s="20">
        <f t="shared" si="27"/>
        <v>10812.438</v>
      </c>
      <c r="D35" s="20">
        <f t="shared" si="27"/>
        <v>10812.438</v>
      </c>
      <c r="E35" s="20">
        <f t="shared" si="27"/>
        <v>10812.438</v>
      </c>
      <c r="F35" s="20">
        <f t="shared" si="27"/>
        <v>10812.438</v>
      </c>
      <c r="G35" s="20">
        <f t="shared" si="27"/>
        <v>10812.438</v>
      </c>
      <c r="H35" s="20">
        <f t="shared" si="27"/>
        <v>10812.438</v>
      </c>
      <c r="I35" s="20">
        <f t="shared" si="27"/>
        <v>10812.438</v>
      </c>
      <c r="J35" s="20">
        <f t="shared" si="27"/>
        <v>10812.438</v>
      </c>
      <c r="K35" s="20">
        <f t="shared" si="27"/>
        <v>10812.438</v>
      </c>
      <c r="L35" s="20">
        <f t="shared" si="27"/>
        <v>10812.438</v>
      </c>
      <c r="M35" s="20">
        <f t="shared" si="27"/>
        <v>10812.438</v>
      </c>
      <c r="N35" s="11">
        <f t="shared" si="25"/>
        <v>129749.25599999998</v>
      </c>
    </row>
    <row r="36" spans="1:14" ht="22.5" customHeight="1" thickBot="1" x14ac:dyDescent="0.3">
      <c r="A36" s="4" t="s">
        <v>25</v>
      </c>
      <c r="B36" s="11">
        <v>2000</v>
      </c>
      <c r="C36" s="11">
        <v>2000</v>
      </c>
      <c r="D36" s="11">
        <v>2000</v>
      </c>
      <c r="E36" s="11">
        <v>2000</v>
      </c>
      <c r="F36" s="11">
        <v>2000</v>
      </c>
      <c r="G36" s="11">
        <v>2000</v>
      </c>
      <c r="H36" s="11">
        <v>2000</v>
      </c>
      <c r="I36" s="11">
        <v>2000</v>
      </c>
      <c r="J36" s="11">
        <v>2000</v>
      </c>
      <c r="K36" s="11">
        <v>2000</v>
      </c>
      <c r="L36" s="11">
        <v>2000</v>
      </c>
      <c r="M36" s="11">
        <v>2000</v>
      </c>
      <c r="N36" s="11">
        <f t="shared" si="25"/>
        <v>24000</v>
      </c>
    </row>
    <row r="37" spans="1:14" ht="21.75" customHeight="1" thickBot="1" x14ac:dyDescent="0.3">
      <c r="A37" s="4" t="s">
        <v>42</v>
      </c>
      <c r="B37" s="11">
        <v>0</v>
      </c>
      <c r="C37" s="11">
        <v>2238.39</v>
      </c>
      <c r="D37" s="11">
        <v>2414.16</v>
      </c>
      <c r="E37" s="11">
        <v>2058.67</v>
      </c>
      <c r="F37" s="11">
        <v>2095.0100000000002</v>
      </c>
      <c r="G37" s="11">
        <v>2179.27</v>
      </c>
      <c r="H37" s="11">
        <v>2115.9</v>
      </c>
      <c r="I37" s="11">
        <v>2830.56</v>
      </c>
      <c r="J37" s="11">
        <v>3583.31</v>
      </c>
      <c r="K37" s="11">
        <v>3790.83</v>
      </c>
      <c r="L37" s="11">
        <v>3545.65</v>
      </c>
      <c r="M37" s="11">
        <v>3599.92</v>
      </c>
      <c r="N37" s="11">
        <f t="shared" si="25"/>
        <v>30451.67</v>
      </c>
    </row>
    <row r="38" spans="1:14" ht="21.75" customHeight="1" thickBot="1" x14ac:dyDescent="0.3">
      <c r="A38" s="4" t="s">
        <v>43</v>
      </c>
      <c r="B38" s="11">
        <v>0</v>
      </c>
      <c r="C38" s="11">
        <f>1178.31+511</f>
        <v>1689.31</v>
      </c>
      <c r="D38" s="11">
        <f>1270.78+551</f>
        <v>1821.78</v>
      </c>
      <c r="E38" s="11">
        <f>469+1083.29</f>
        <v>1552.29</v>
      </c>
      <c r="F38" s="11">
        <f>477+1102.29</f>
        <v>1579.29</v>
      </c>
      <c r="G38" s="11">
        <f>497+1146.98</f>
        <v>1643.98</v>
      </c>
      <c r="H38" s="11">
        <f>483+1113.81</f>
        <v>1596.81</v>
      </c>
      <c r="I38" s="11">
        <f>645+1489.53</f>
        <v>2134.5299999999997</v>
      </c>
      <c r="J38" s="11">
        <f>818+1886.28</f>
        <v>2704.2799999999997</v>
      </c>
      <c r="K38" s="11">
        <f>864+1994.93</f>
        <v>2858.9300000000003</v>
      </c>
      <c r="L38" s="11">
        <f>809+1866.28</f>
        <v>2675.2799999999997</v>
      </c>
      <c r="M38" s="11">
        <f>821+1894.68</f>
        <v>2715.6800000000003</v>
      </c>
      <c r="N38" s="11">
        <f t="shared" si="25"/>
        <v>22972.159999999996</v>
      </c>
    </row>
    <row r="39" spans="1:14" ht="22.5" customHeight="1" thickBot="1" x14ac:dyDescent="0.3">
      <c r="A39" s="4" t="s">
        <v>27</v>
      </c>
      <c r="B39" s="11">
        <v>900</v>
      </c>
      <c r="C39" s="11">
        <v>900</v>
      </c>
      <c r="D39" s="11">
        <v>900</v>
      </c>
      <c r="E39" s="11">
        <v>900</v>
      </c>
      <c r="F39" s="11">
        <v>900</v>
      </c>
      <c r="G39" s="11">
        <v>900</v>
      </c>
      <c r="H39" s="11">
        <v>900</v>
      </c>
      <c r="I39" s="11">
        <v>900</v>
      </c>
      <c r="J39" s="11">
        <v>900</v>
      </c>
      <c r="K39" s="11">
        <v>900</v>
      </c>
      <c r="L39" s="11">
        <v>900</v>
      </c>
      <c r="M39" s="11">
        <v>900</v>
      </c>
      <c r="N39" s="11">
        <f t="shared" si="25"/>
        <v>10800</v>
      </c>
    </row>
    <row r="40" spans="1:14" ht="24" customHeight="1" thickBot="1" x14ac:dyDescent="0.3">
      <c r="A40" s="4" t="s">
        <v>10</v>
      </c>
      <c r="B40" s="11">
        <f>8903.3</f>
        <v>8903.2999999999993</v>
      </c>
      <c r="C40" s="11">
        <f>210</f>
        <v>210</v>
      </c>
      <c r="D40" s="11">
        <f>856.9</f>
        <v>856.9</v>
      </c>
      <c r="E40" s="11">
        <f>973.9+1298.5+3749.3+324.6+210</f>
        <v>6556.3000000000011</v>
      </c>
      <c r="F40" s="11">
        <f>2499.3+1298.5+3765.4+10185.2+3139.7+35092.7+44324.4+83125.3</f>
        <v>183430.5</v>
      </c>
      <c r="G40" s="11">
        <v>0</v>
      </c>
      <c r="H40" s="11">
        <v>0</v>
      </c>
      <c r="I40" s="11">
        <f>9531+11610.7+7384.5+10818.8</f>
        <v>39345</v>
      </c>
      <c r="J40" s="11">
        <f>1476.5</f>
        <v>1476.5</v>
      </c>
      <c r="K40" s="11">
        <f>8098.5+1000</f>
        <v>9098.5</v>
      </c>
      <c r="L40" s="11">
        <f>315</f>
        <v>315</v>
      </c>
      <c r="M40" s="11">
        <f>1300+11881.5+489.8+1266.2+1298.5</f>
        <v>16236</v>
      </c>
      <c r="N40" s="11">
        <f t="shared" si="25"/>
        <v>266428</v>
      </c>
    </row>
    <row r="41" spans="1:14" ht="22.5" customHeight="1" thickBot="1" x14ac:dyDescent="0.3">
      <c r="A41" s="9" t="s">
        <v>23</v>
      </c>
      <c r="B41" s="10">
        <f t="shared" ref="B41:M41" si="28">SUM(B26:B40)</f>
        <v>64812.02463</v>
      </c>
      <c r="C41" s="10">
        <f t="shared" si="28"/>
        <v>58941.019330000003</v>
      </c>
      <c r="D41" s="10">
        <f t="shared" si="28"/>
        <v>59842.731680000004</v>
      </c>
      <c r="E41" s="10">
        <f t="shared" si="28"/>
        <v>67673.564159999994</v>
      </c>
      <c r="F41" s="10">
        <f t="shared" si="28"/>
        <v>240916.38055</v>
      </c>
      <c r="G41" s="10">
        <f t="shared" si="28"/>
        <v>58560.051320000006</v>
      </c>
      <c r="H41" s="10">
        <f t="shared" si="28"/>
        <v>62977.269790000006</v>
      </c>
      <c r="I41" s="10">
        <f t="shared" si="28"/>
        <v>97959.896269999997</v>
      </c>
      <c r="J41" s="10">
        <f t="shared" si="28"/>
        <v>63512.447019999992</v>
      </c>
      <c r="K41" s="10">
        <f t="shared" si="28"/>
        <v>69820.802729999996</v>
      </c>
      <c r="L41" s="10">
        <f t="shared" si="28"/>
        <v>61465.917629999996</v>
      </c>
      <c r="M41" s="10">
        <f t="shared" si="28"/>
        <v>77480.344509999995</v>
      </c>
      <c r="N41" s="10">
        <f>SUM(B41:M41)</f>
        <v>983962.44962000009</v>
      </c>
    </row>
    <row r="42" spans="1:14" ht="23.25" customHeight="1" thickBot="1" x14ac:dyDescent="0.3">
      <c r="A42" s="4" t="s">
        <v>5</v>
      </c>
      <c r="B42" s="18">
        <f t="shared" ref="B42:N42" si="29">B16-B41</f>
        <v>5037.1553700000077</v>
      </c>
      <c r="C42" s="18">
        <f t="shared" si="29"/>
        <v>27285.340670000012</v>
      </c>
      <c r="D42" s="18">
        <f t="shared" si="29"/>
        <v>70066.478319999995</v>
      </c>
      <c r="E42" s="18">
        <f t="shared" si="29"/>
        <v>675.05584000001545</v>
      </c>
      <c r="F42" s="18">
        <f t="shared" si="29"/>
        <v>-162351.88055</v>
      </c>
      <c r="G42" s="18">
        <f t="shared" si="29"/>
        <v>16837.938679999999</v>
      </c>
      <c r="H42" s="18">
        <f t="shared" si="29"/>
        <v>11493.760209999993</v>
      </c>
      <c r="I42" s="18">
        <f t="shared" si="29"/>
        <v>-23815.69627</v>
      </c>
      <c r="J42" s="18">
        <f t="shared" si="29"/>
        <v>20142.892980000004</v>
      </c>
      <c r="K42" s="18">
        <f t="shared" si="29"/>
        <v>3271.9972699999926</v>
      </c>
      <c r="L42" s="18">
        <f t="shared" si="29"/>
        <v>17987.742369999993</v>
      </c>
      <c r="M42" s="18">
        <f t="shared" si="29"/>
        <v>5024.9354900000035</v>
      </c>
      <c r="N42" s="11">
        <f t="shared" si="29"/>
        <v>-8344.2796200000448</v>
      </c>
    </row>
    <row r="43" spans="1:14" ht="23.25" customHeight="1" thickBot="1" x14ac:dyDescent="0.3">
      <c r="A43" s="4" t="s">
        <v>7</v>
      </c>
      <c r="B43" s="14">
        <f t="shared" ref="B43:N43" si="30">B5+B42</f>
        <v>-176141.69462999998</v>
      </c>
      <c r="C43" s="14">
        <f t="shared" si="30"/>
        <v>-148856.35395999998</v>
      </c>
      <c r="D43" s="14">
        <f t="shared" si="30"/>
        <v>-78789.875639999984</v>
      </c>
      <c r="E43" s="14">
        <f t="shared" si="30"/>
        <v>-78114.819799999968</v>
      </c>
      <c r="F43" s="14">
        <f t="shared" si="30"/>
        <v>-240466.70034999997</v>
      </c>
      <c r="G43" s="14">
        <f t="shared" si="30"/>
        <v>-223628.76166999998</v>
      </c>
      <c r="H43" s="14">
        <f t="shared" si="30"/>
        <v>-212135.00146</v>
      </c>
      <c r="I43" s="14">
        <f t="shared" si="30"/>
        <v>-235950.69773000001</v>
      </c>
      <c r="J43" s="14">
        <f t="shared" si="30"/>
        <v>-215807.80475000001</v>
      </c>
      <c r="K43" s="14">
        <f t="shared" si="30"/>
        <v>-212535.80748000002</v>
      </c>
      <c r="L43" s="14">
        <f t="shared" si="30"/>
        <v>-194548.06511000003</v>
      </c>
      <c r="M43" s="14">
        <f t="shared" si="30"/>
        <v>-189523.12962000002</v>
      </c>
      <c r="N43" s="14">
        <f t="shared" si="30"/>
        <v>-189523.12962000005</v>
      </c>
    </row>
    <row r="44" spans="1:14" ht="23.25" customHeight="1" thickBot="1" x14ac:dyDescent="0.3">
      <c r="A44" s="4" t="s">
        <v>45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5487.58</v>
      </c>
      <c r="M44" s="11">
        <v>0</v>
      </c>
      <c r="N44" s="11">
        <f>SUM(B44:M44)</f>
        <v>5487.58</v>
      </c>
    </row>
    <row r="45" spans="1:14" ht="27" customHeight="1" thickBot="1" x14ac:dyDescent="0.3">
      <c r="A45" s="15" t="s">
        <v>11</v>
      </c>
      <c r="B45" s="19">
        <f t="shared" ref="B45:K45" si="31">B6+B16-B7</f>
        <v>-265864.12</v>
      </c>
      <c r="C45" s="19">
        <f t="shared" si="31"/>
        <v>-261925.77</v>
      </c>
      <c r="D45" s="19">
        <f t="shared" si="31"/>
        <v>-212772.80000000002</v>
      </c>
      <c r="E45" s="19">
        <f t="shared" si="31"/>
        <v>-225487.43</v>
      </c>
      <c r="F45" s="19">
        <f t="shared" si="31"/>
        <v>-230795.98</v>
      </c>
      <c r="G45" s="19">
        <f t="shared" si="31"/>
        <v>-235337.02000000002</v>
      </c>
      <c r="H45" s="19">
        <f t="shared" si="31"/>
        <v>-244803.84000000003</v>
      </c>
      <c r="I45" s="19">
        <f t="shared" si="31"/>
        <v>-259245.51</v>
      </c>
      <c r="J45" s="19">
        <f t="shared" si="31"/>
        <v>-258482.36000000002</v>
      </c>
      <c r="K45" s="19">
        <f t="shared" si="31"/>
        <v>-270194.65000000002</v>
      </c>
      <c r="L45" s="19">
        <f>L6-L7+L16+L44</f>
        <v>-268375.32000000007</v>
      </c>
      <c r="M45" s="19">
        <f t="shared" ref="M45:N45" si="32">M6-M7+M16+M44</f>
        <v>-267321.34000000008</v>
      </c>
      <c r="N45" s="19">
        <f t="shared" si="32"/>
        <v>-267321.34000000026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2025-03-17T05:27:09Z</cp:lastPrinted>
  <dcterms:created xsi:type="dcterms:W3CDTF">2011-06-06T03:25:48Z</dcterms:created>
  <dcterms:modified xsi:type="dcterms:W3CDTF">2025-03-17T05:33:24Z</dcterms:modified>
</cp:coreProperties>
</file>