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/>
</workbook>
</file>

<file path=xl/calcChain.xml><?xml version="1.0" encoding="utf-8"?>
<calcChain xmlns="http://schemas.openxmlformats.org/spreadsheetml/2006/main">
  <c r="M38" i="1" l="1"/>
  <c r="L38" i="1" l="1"/>
  <c r="M35" i="1" l="1"/>
  <c r="L35" i="1"/>
  <c r="K35" i="1"/>
  <c r="K38" i="1" l="1"/>
  <c r="M27" i="1" l="1"/>
  <c r="M16" i="1"/>
  <c r="M26" i="1"/>
  <c r="M8" i="1"/>
  <c r="L27" i="1" l="1"/>
  <c r="L16" i="1"/>
  <c r="L26" i="1"/>
  <c r="L8" i="1"/>
  <c r="J43" i="1"/>
  <c r="N42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I26" i="1" l="1"/>
  <c r="I8" i="1"/>
  <c r="J38" i="1" l="1"/>
  <c r="J29" i="1" l="1"/>
  <c r="I29" i="1"/>
  <c r="H29" i="1"/>
  <c r="I38" i="1" l="1"/>
  <c r="J35" i="1" l="1"/>
  <c r="I35" i="1"/>
  <c r="H35" i="1"/>
  <c r="J27" i="1" l="1"/>
  <c r="J16" i="1"/>
  <c r="J26" i="1"/>
  <c r="J8" i="1"/>
  <c r="I27" i="1" l="1"/>
  <c r="I16" i="1"/>
  <c r="H38" i="1" l="1"/>
  <c r="H27" i="1" l="1"/>
  <c r="H16" i="1"/>
  <c r="H26" i="1"/>
  <c r="H8" i="1"/>
  <c r="H33" i="1"/>
  <c r="I33" i="1"/>
  <c r="J33" i="1"/>
  <c r="H28" i="1" l="1"/>
  <c r="I28" i="1"/>
  <c r="J28" i="1"/>
  <c r="H25" i="1"/>
  <c r="I25" i="1"/>
  <c r="J25" i="1"/>
  <c r="H24" i="1"/>
  <c r="I24" i="1"/>
  <c r="J24" i="1"/>
  <c r="G38" i="1" l="1"/>
  <c r="G35" i="1" l="1"/>
  <c r="F35" i="1"/>
  <c r="E35" i="1"/>
  <c r="F38" i="1" l="1"/>
  <c r="G27" i="1" l="1"/>
  <c r="G16" i="1"/>
  <c r="G26" i="1"/>
  <c r="G8" i="1"/>
  <c r="F27" i="1" l="1"/>
  <c r="F16" i="1"/>
  <c r="F26" i="1"/>
  <c r="F8" i="1"/>
  <c r="E27" i="1" l="1"/>
  <c r="E16" i="1"/>
  <c r="E26" i="1"/>
  <c r="D8" i="1"/>
  <c r="E8" i="1"/>
  <c r="E38" i="1" l="1"/>
  <c r="E33" i="1" l="1"/>
  <c r="F33" i="1"/>
  <c r="G33" i="1"/>
  <c r="E28" i="1"/>
  <c r="F28" i="1"/>
  <c r="G28" i="1"/>
  <c r="E25" i="1"/>
  <c r="F25" i="1"/>
  <c r="G25" i="1"/>
  <c r="E24" i="1"/>
  <c r="F24" i="1"/>
  <c r="G24" i="1"/>
  <c r="D35" i="1" l="1"/>
  <c r="C35" i="1"/>
  <c r="D38" i="1" l="1"/>
  <c r="C38" i="1" l="1"/>
  <c r="N36" i="1" l="1"/>
  <c r="D29" i="1" l="1"/>
  <c r="C29" i="1"/>
  <c r="B29" i="1"/>
  <c r="C33" i="1" l="1"/>
  <c r="D33" i="1"/>
  <c r="B33" i="1"/>
  <c r="C28" i="1"/>
  <c r="D28" i="1"/>
  <c r="B28" i="1"/>
  <c r="C25" i="1"/>
  <c r="D25" i="1"/>
  <c r="B25" i="1"/>
  <c r="C24" i="1"/>
  <c r="D24" i="1"/>
  <c r="B24" i="1"/>
  <c r="N35" i="1" l="1"/>
  <c r="D27" i="1" l="1"/>
  <c r="D16" i="1"/>
  <c r="D26" i="1"/>
  <c r="B38" i="1" l="1"/>
  <c r="C27" i="1" l="1"/>
  <c r="C16" i="1"/>
  <c r="C26" i="1"/>
  <c r="C8" i="1"/>
  <c r="B27" i="1" l="1"/>
  <c r="B16" i="1"/>
  <c r="B26" i="1"/>
  <c r="B8" i="1"/>
  <c r="N25" i="1" l="1"/>
  <c r="N26" i="1"/>
  <c r="N27" i="1"/>
  <c r="N28" i="1"/>
  <c r="N29" i="1"/>
  <c r="N30" i="1"/>
  <c r="N31" i="1"/>
  <c r="N32" i="1"/>
  <c r="N33" i="1"/>
  <c r="N34" i="1"/>
  <c r="N37" i="1"/>
  <c r="N38" i="1"/>
  <c r="N24" i="1"/>
  <c r="N9" i="1"/>
  <c r="N10" i="1"/>
  <c r="N11" i="1"/>
  <c r="N12" i="1"/>
  <c r="N13" i="1"/>
  <c r="N14" i="1"/>
  <c r="N8" i="1"/>
  <c r="N6" i="1" l="1"/>
  <c r="N5" i="1"/>
  <c r="N17" i="1" l="1"/>
  <c r="N18" i="1"/>
  <c r="N19" i="1"/>
  <c r="N20" i="1"/>
  <c r="N21" i="1"/>
  <c r="N22" i="1"/>
  <c r="N16" i="1"/>
  <c r="K15" i="1"/>
  <c r="L15" i="1"/>
  <c r="M15" i="1"/>
  <c r="K7" i="1"/>
  <c r="M7" i="1"/>
  <c r="L39" i="1" l="1"/>
  <c r="L40" i="1" s="1"/>
  <c r="M39" i="1"/>
  <c r="M40" i="1" s="1"/>
  <c r="K39" i="1"/>
  <c r="L7" i="1"/>
  <c r="K40" i="1" l="1"/>
  <c r="H15" i="1"/>
  <c r="I15" i="1"/>
  <c r="J15" i="1"/>
  <c r="H7" i="1"/>
  <c r="I7" i="1"/>
  <c r="J7" i="1"/>
  <c r="J39" i="1" l="1"/>
  <c r="J40" i="1" s="1"/>
  <c r="I39" i="1"/>
  <c r="I40" i="1" s="1"/>
  <c r="G15" i="1"/>
  <c r="G7" i="1"/>
  <c r="F15" i="1"/>
  <c r="F7" i="1"/>
  <c r="E15" i="1"/>
  <c r="E7" i="1"/>
  <c r="D15" i="1"/>
  <c r="D7" i="1"/>
  <c r="C15" i="1"/>
  <c r="C7" i="1"/>
  <c r="B15" i="1"/>
  <c r="B7" i="1"/>
  <c r="N7" i="1" l="1"/>
  <c r="N15" i="1"/>
  <c r="D39" i="1"/>
  <c r="D40" i="1" s="1"/>
  <c r="G39" i="1"/>
  <c r="G40" i="1" s="1"/>
  <c r="F39" i="1"/>
  <c r="F40" i="1" s="1"/>
  <c r="H39" i="1"/>
  <c r="E39" i="1"/>
  <c r="B43" i="1"/>
  <c r="C6" i="1" s="1"/>
  <c r="C43" i="1" s="1"/>
  <c r="D6" i="1" s="1"/>
  <c r="D43" i="1" s="1"/>
  <c r="N43" i="1" l="1"/>
  <c r="C39" i="1"/>
  <c r="C40" i="1" s="1"/>
  <c r="E6" i="1"/>
  <c r="E43" i="1" s="1"/>
  <c r="F6" i="1" s="1"/>
  <c r="F43" i="1" s="1"/>
  <c r="G6" i="1" s="1"/>
  <c r="G43" i="1" s="1"/>
  <c r="B39" i="1"/>
  <c r="B40" i="1" s="1"/>
  <c r="B41" i="1" s="1"/>
  <c r="E40" i="1"/>
  <c r="H40" i="1"/>
  <c r="N39" i="1" l="1"/>
  <c r="N40" i="1" s="1"/>
  <c r="N41" i="1" s="1"/>
  <c r="C41" i="1"/>
  <c r="H6" i="1"/>
  <c r="C5" i="1"/>
  <c r="D41" i="1" l="1"/>
  <c r="E41" i="1" s="1"/>
  <c r="D5" i="1"/>
  <c r="H43" i="1"/>
  <c r="I6" i="1" s="1"/>
  <c r="I43" i="1" l="1"/>
  <c r="J6" i="1" s="1"/>
  <c r="K6" i="1" s="1"/>
  <c r="K43" i="1" s="1"/>
  <c r="E5" i="1"/>
  <c r="F41" i="1"/>
  <c r="G5" i="1" s="1"/>
  <c r="F5" i="1"/>
  <c r="G41" i="1" l="1"/>
  <c r="H41" i="1" s="1"/>
  <c r="I41" i="1" s="1"/>
  <c r="J41" i="1" s="1"/>
  <c r="K41" i="1" s="1"/>
  <c r="L41" i="1" s="1"/>
  <c r="M41" i="1" s="1"/>
  <c r="L6" i="1"/>
  <c r="L43" i="1" s="1"/>
  <c r="H5" i="1" l="1"/>
  <c r="M6" i="1"/>
  <c r="M43" i="1" s="1"/>
  <c r="I5" i="1"/>
  <c r="J5" i="1" l="1"/>
  <c r="K5" i="1" l="1"/>
  <c r="L5" i="1" l="1"/>
  <c r="M5" i="1" l="1"/>
</calcChain>
</file>

<file path=xl/sharedStrings.xml><?xml version="1.0" encoding="utf-8"?>
<sst xmlns="http://schemas.openxmlformats.org/spreadsheetml/2006/main" count="54" uniqueCount="45">
  <si>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</si>
  <si>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</si>
  <si>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</si>
  <si>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</si>
  <si>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</si>
  <si>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</si>
  <si>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</si>
  <si>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</si>
  <si>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</si>
  <si>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</si>
  <si>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</si>
  <si>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</si>
  <si>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</si>
  <si>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</si>
  <si>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</si>
  <si>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</si>
  <si>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</si>
  <si>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</si>
  <si>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</si>
  <si>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</si>
  <si>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</si>
  <si>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</si>
  <si>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</si>
  <si>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</si>
  <si>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</si>
  <si>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общедомовых приборов учета</t>
  </si>
  <si>
    <t>Отведение стоков ОИ</t>
  </si>
  <si>
    <t>Содержание жилья и текущий ремонт,  ОПУ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</si>
  <si>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</si>
  <si>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</si>
  <si>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</si>
  <si>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</si>
  <si>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</si>
  <si>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</si>
  <si>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2024г.</t>
  </si>
  <si>
    <t>Август 2024г.</t>
  </si>
  <si>
    <t>Сентябрь 2024г.</t>
  </si>
  <si>
    <t>Октябрь 2024г</t>
  </si>
  <si>
    <t>Ноябрь 2024г</t>
  </si>
  <si>
    <t>Декабрь 2024г</t>
  </si>
  <si>
    <t>Всего:                       за  2024г.</t>
  </si>
  <si>
    <t>Вознаграждение совета МКД</t>
  </si>
  <si>
    <t>Налоги с вознаграждения совета МКД</t>
  </si>
  <si>
    <t>Корректировка задолженности по решению суда</t>
  </si>
  <si>
    <t xml:space="preserve">                 ОТЧЕТ по дому Разина, 70 за период 01.01.2024г. по 31.12.2024г.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</si>
</sst>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7" xfId="0" applyNumberFormat="1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164" fontId="5" fillId="0" borderId="3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="75" workbookViewId="0">
      <selection activeCell="F10" sqref="F10"/>
    </sheetView>
  </sheetViews>
  <sheetFormatPr defaultRowHeight="13.2" x14ac:dyDescent="0.25"/>
  <cols>
    <col min="1" max="1" width="58.6640625" customWidth="1"/>
    <col min="2" max="3" width="14.88671875" customWidth="1"/>
    <col min="4" max="4" width="14.5546875" customWidth="1"/>
    <col min="5" max="5" width="13.6640625" customWidth="1"/>
    <col min="6" max="6" width="15" customWidth="1"/>
    <col min="7" max="7" width="14.33203125" customWidth="1"/>
    <col min="8" max="8" width="14.88671875" customWidth="1"/>
    <col min="9" max="9" width="14.33203125" customWidth="1"/>
    <col min="10" max="13" width="13.6640625" customWidth="1"/>
    <col min="14" max="14" width="16.109375" customWidth="1"/>
  </cols>
  <sheetData>
    <row r="1" spans="1:18" ht="20.25" customHeight="1" x14ac:dyDescent="0.35">
      <c r="A1" s="25" t="s">
        <v>44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40</v>
      </c>
    </row>
    <row r="5" spans="1:18" ht="23.25" customHeight="1" thickBot="1" x14ac:dyDescent="0.3">
      <c r="A5" s="7" t="s">
        <v>16</v>
      </c>
      <c r="B5" s="8">
        <v>-723974.59</v>
      </c>
      <c r="C5" s="8">
        <f t="shared" ref="C5:D5" si="0">B41</f>
        <v>-693029.89281999995</v>
      </c>
      <c r="D5" s="8">
        <f t="shared" si="0"/>
        <v>-760028.16359999997</v>
      </c>
      <c r="E5" s="8">
        <f t="shared" ref="E5" si="1">D41</f>
        <v>-766216.52854999993</v>
      </c>
      <c r="F5" s="8">
        <f t="shared" ref="F5" si="2">E41</f>
        <v>-728366.67535999999</v>
      </c>
      <c r="G5" s="8">
        <f t="shared" ref="G5" si="3">F41</f>
        <v>-836966.57435999997</v>
      </c>
      <c r="H5" s="8">
        <f t="shared" ref="H5" si="4">G41</f>
        <v>-827320.33045000001</v>
      </c>
      <c r="I5" s="8">
        <f t="shared" ref="I5" si="5">H41</f>
        <v>-894235.58681999997</v>
      </c>
      <c r="J5" s="8">
        <f t="shared" ref="J5" si="6">I41</f>
        <v>-852535.71260999993</v>
      </c>
      <c r="K5" s="8">
        <f t="shared" ref="K5" si="7">J41</f>
        <v>-802429.5181799999</v>
      </c>
      <c r="L5" s="8">
        <f t="shared" ref="L5" si="8">K41</f>
        <v>-769205.10385999992</v>
      </c>
      <c r="M5" s="8">
        <f t="shared" ref="M5" si="9">L41</f>
        <v>-732429.99289999995</v>
      </c>
      <c r="N5" s="8">
        <f>B5</f>
        <v>-723974.59</v>
      </c>
    </row>
    <row r="6" spans="1:18" ht="21" customHeight="1" thickBot="1" x14ac:dyDescent="0.3">
      <c r="A6" s="7" t="s">
        <v>13</v>
      </c>
      <c r="B6" s="8">
        <v>-244759.26</v>
      </c>
      <c r="C6" s="8">
        <f t="shared" ref="C6:M6" si="10">B43</f>
        <v>-243369.45</v>
      </c>
      <c r="D6" s="8">
        <f t="shared" si="10"/>
        <v>-224031.94</v>
      </c>
      <c r="E6" s="8">
        <f t="shared" si="10"/>
        <v>-225754.7</v>
      </c>
      <c r="F6" s="8">
        <f t="shared" si="10"/>
        <v>-224667.52000000002</v>
      </c>
      <c r="G6" s="8">
        <f t="shared" si="10"/>
        <v>-230564.75</v>
      </c>
      <c r="H6" s="8">
        <f t="shared" si="10"/>
        <v>-254293.37</v>
      </c>
      <c r="I6" s="8">
        <f t="shared" si="10"/>
        <v>-258614.55</v>
      </c>
      <c r="J6" s="8">
        <f t="shared" si="10"/>
        <v>-237182.71999999994</v>
      </c>
      <c r="K6" s="8">
        <f t="shared" si="10"/>
        <v>-212092.99999999994</v>
      </c>
      <c r="L6" s="8">
        <f t="shared" si="10"/>
        <v>-211284.06999999995</v>
      </c>
      <c r="M6" s="8">
        <f t="shared" si="10"/>
        <v>-59467.179999999935</v>
      </c>
      <c r="N6" s="8">
        <f>B6</f>
        <v>-244759.26</v>
      </c>
    </row>
    <row r="7" spans="1:18" ht="20.25" customHeight="1" thickBot="1" x14ac:dyDescent="0.3">
      <c r="A7" s="9" t="s">
        <v>12</v>
      </c>
      <c r="B7" s="10">
        <f>SUM(B8:B14)</f>
        <v>126524.84000000001</v>
      </c>
      <c r="C7" s="10">
        <f>SUM(C8:C14)</f>
        <v>125385.16</v>
      </c>
      <c r="D7" s="10">
        <f>SUM(D8:D14)</f>
        <v>122402.75</v>
      </c>
      <c r="E7" s="10">
        <f t="shared" ref="E7:M7" si="11">SUM(E8:E14)</f>
        <v>116986.97</v>
      </c>
      <c r="F7" s="10">
        <f t="shared" si="11"/>
        <v>115296.3</v>
      </c>
      <c r="G7" s="10">
        <f t="shared" si="11"/>
        <v>126268.73000000001</v>
      </c>
      <c r="H7" s="10">
        <f t="shared" si="11"/>
        <v>122645.09000000001</v>
      </c>
      <c r="I7" s="10">
        <f t="shared" si="11"/>
        <v>129531.43000000001</v>
      </c>
      <c r="J7" s="10">
        <f t="shared" si="11"/>
        <v>120742.49</v>
      </c>
      <c r="K7" s="10">
        <f t="shared" si="11"/>
        <v>121624.26000000001</v>
      </c>
      <c r="L7" s="10">
        <f t="shared" si="11"/>
        <v>122310.58</v>
      </c>
      <c r="M7" s="10">
        <f t="shared" si="11"/>
        <v>115586.84000000001</v>
      </c>
      <c r="N7" s="10">
        <f>SUM(B7:M7)</f>
        <v>1465305.4400000002</v>
      </c>
    </row>
    <row r="8" spans="1:18" ht="24.75" customHeight="1" thickBot="1" x14ac:dyDescent="0.3">
      <c r="A8" s="4" t="s">
        <v>27</v>
      </c>
      <c r="B8" s="11">
        <f t="shared" ref="B8:G8" si="12">105604.81+15.8+1466.82</f>
        <v>107087.43000000001</v>
      </c>
      <c r="C8" s="11">
        <f t="shared" si="12"/>
        <v>107087.43000000001</v>
      </c>
      <c r="D8" s="11">
        <f t="shared" si="12"/>
        <v>107087.43000000001</v>
      </c>
      <c r="E8" s="11">
        <f t="shared" si="12"/>
        <v>107087.43000000001</v>
      </c>
      <c r="F8" s="11">
        <f t="shared" si="12"/>
        <v>107087.43000000001</v>
      </c>
      <c r="G8" s="11">
        <f t="shared" si="12"/>
        <v>107087.43000000001</v>
      </c>
      <c r="H8" s="11">
        <f t="shared" ref="H8:M8" si="13">105604.81+15.8+1466.82</f>
        <v>107087.43000000001</v>
      </c>
      <c r="I8" s="11">
        <f t="shared" si="13"/>
        <v>107087.43000000001</v>
      </c>
      <c r="J8" s="11">
        <f t="shared" si="13"/>
        <v>107087.43000000001</v>
      </c>
      <c r="K8" s="11">
        <f t="shared" si="13"/>
        <v>107087.43000000001</v>
      </c>
      <c r="L8" s="11">
        <f t="shared" si="13"/>
        <v>107087.43000000001</v>
      </c>
      <c r="M8" s="11">
        <f t="shared" si="13"/>
        <v>107087.43000000001</v>
      </c>
      <c r="N8" s="11">
        <f>SUM(B8:M8)</f>
        <v>1285049.1600000001</v>
      </c>
    </row>
    <row r="9" spans="1:18" ht="24.75" customHeight="1" thickBot="1" x14ac:dyDescent="0.3">
      <c r="A9" s="4" t="s">
        <v>17</v>
      </c>
      <c r="B9" s="11">
        <v>6493.48</v>
      </c>
      <c r="C9" s="11">
        <v>4660.28</v>
      </c>
      <c r="D9" s="11">
        <v>7106.45</v>
      </c>
      <c r="E9" s="11">
        <v>1690.67</v>
      </c>
      <c r="F9" s="11">
        <v>0</v>
      </c>
      <c r="G9" s="11">
        <v>0</v>
      </c>
      <c r="H9" s="11">
        <v>0</v>
      </c>
      <c r="I9" s="11">
        <v>5125.55</v>
      </c>
      <c r="J9" s="11">
        <v>2886.26</v>
      </c>
      <c r="K9" s="11">
        <v>2011.1</v>
      </c>
      <c r="L9" s="11">
        <v>0</v>
      </c>
      <c r="M9" s="11">
        <v>0</v>
      </c>
      <c r="N9" s="11">
        <f t="shared" ref="N9:N14" si="14">SUM(B9:M9)</f>
        <v>29973.789999999994</v>
      </c>
    </row>
    <row r="10" spans="1:18" ht="21.75" customHeight="1" thickBot="1" x14ac:dyDescent="0.3">
      <c r="A10" s="4" t="s">
        <v>18</v>
      </c>
      <c r="B10" s="11">
        <v>308.61</v>
      </c>
      <c r="C10" s="11">
        <v>308.61</v>
      </c>
      <c r="D10" s="11">
        <v>308.52999999999997</v>
      </c>
      <c r="E10" s="11">
        <v>308.52999999999997</v>
      </c>
      <c r="F10" s="11">
        <v>308.52999999999997</v>
      </c>
      <c r="G10" s="11">
        <v>308.52999999999997</v>
      </c>
      <c r="H10" s="11">
        <v>340.97</v>
      </c>
      <c r="I10" s="11">
        <v>340.97</v>
      </c>
      <c r="J10" s="11">
        <v>340.97</v>
      </c>
      <c r="K10" s="11">
        <v>340.97</v>
      </c>
      <c r="L10" s="11">
        <v>340.97</v>
      </c>
      <c r="M10" s="11">
        <v>340.97</v>
      </c>
      <c r="N10" s="11">
        <f t="shared" si="14"/>
        <v>3897.1600000000008</v>
      </c>
    </row>
    <row r="11" spans="1:18" ht="22.5" customHeight="1" thickBot="1" x14ac:dyDescent="0.3">
      <c r="A11" s="4" t="s">
        <v>19</v>
      </c>
      <c r="B11" s="11">
        <v>4671.63</v>
      </c>
      <c r="C11" s="11">
        <v>5365.15</v>
      </c>
      <c r="D11" s="11">
        <v>0</v>
      </c>
      <c r="E11" s="11">
        <v>0</v>
      </c>
      <c r="F11" s="11">
        <v>0</v>
      </c>
      <c r="G11" s="11">
        <v>8537.43</v>
      </c>
      <c r="H11" s="11">
        <v>4788.8599999999997</v>
      </c>
      <c r="I11" s="11">
        <v>6549.65</v>
      </c>
      <c r="J11" s="11">
        <v>0</v>
      </c>
      <c r="K11" s="11">
        <v>1756.93</v>
      </c>
      <c r="L11" s="11">
        <v>4798.29</v>
      </c>
      <c r="M11" s="11">
        <v>0</v>
      </c>
      <c r="N11" s="11">
        <f t="shared" si="14"/>
        <v>36467.94</v>
      </c>
    </row>
    <row r="12" spans="1:18" ht="22.5" customHeight="1" thickBot="1" x14ac:dyDescent="0.3">
      <c r="A12" s="4" t="s">
        <v>26</v>
      </c>
      <c r="B12" s="11">
        <v>595.34</v>
      </c>
      <c r="C12" s="11">
        <v>595.34</v>
      </c>
      <c r="D12" s="11">
        <v>595.34</v>
      </c>
      <c r="E12" s="11">
        <v>595.34</v>
      </c>
      <c r="F12" s="11">
        <v>595.34</v>
      </c>
      <c r="G12" s="11">
        <v>595.34</v>
      </c>
      <c r="H12" s="11">
        <v>687.83</v>
      </c>
      <c r="I12" s="11">
        <v>687.83</v>
      </c>
      <c r="J12" s="11">
        <v>687.83</v>
      </c>
      <c r="K12" s="11">
        <v>687.83</v>
      </c>
      <c r="L12" s="11">
        <v>343.89</v>
      </c>
      <c r="M12" s="11">
        <v>-1581.56</v>
      </c>
      <c r="N12" s="11">
        <f t="shared" si="14"/>
        <v>5085.6900000000005</v>
      </c>
    </row>
    <row r="13" spans="1:18" ht="22.5" customHeight="1" thickBot="1" x14ac:dyDescent="0.3">
      <c r="A13" s="4" t="s">
        <v>41</v>
      </c>
      <c r="B13" s="11">
        <v>6398.35</v>
      </c>
      <c r="C13" s="11">
        <v>6398.35</v>
      </c>
      <c r="D13" s="11">
        <v>6335</v>
      </c>
      <c r="E13" s="11">
        <v>6335</v>
      </c>
      <c r="F13" s="11">
        <v>6335</v>
      </c>
      <c r="G13" s="11">
        <v>8770</v>
      </c>
      <c r="H13" s="11">
        <v>8770</v>
      </c>
      <c r="I13" s="11">
        <v>8770</v>
      </c>
      <c r="J13" s="11">
        <v>8770</v>
      </c>
      <c r="K13" s="11">
        <v>8770</v>
      </c>
      <c r="L13" s="11">
        <v>8770</v>
      </c>
      <c r="M13" s="11">
        <v>8770</v>
      </c>
      <c r="N13" s="11">
        <f t="shared" si="14"/>
        <v>93191.7</v>
      </c>
    </row>
    <row r="14" spans="1:18" ht="24" customHeight="1" thickBot="1" x14ac:dyDescent="0.3">
      <c r="A14" s="4" t="s">
        <v>15</v>
      </c>
      <c r="B14" s="11">
        <v>970</v>
      </c>
      <c r="C14" s="11">
        <v>970</v>
      </c>
      <c r="D14" s="11">
        <v>970</v>
      </c>
      <c r="E14" s="11">
        <v>970</v>
      </c>
      <c r="F14" s="11">
        <v>970</v>
      </c>
      <c r="G14" s="11">
        <v>970</v>
      </c>
      <c r="H14" s="11">
        <v>970</v>
      </c>
      <c r="I14" s="11">
        <v>970</v>
      </c>
      <c r="J14" s="11">
        <v>970</v>
      </c>
      <c r="K14" s="11">
        <v>970</v>
      </c>
      <c r="L14" s="11">
        <v>970</v>
      </c>
      <c r="M14" s="11">
        <v>970</v>
      </c>
      <c r="N14" s="11">
        <f t="shared" si="14"/>
        <v>11640</v>
      </c>
    </row>
    <row r="15" spans="1:18" ht="20.25" customHeight="1" thickBot="1" x14ac:dyDescent="0.3">
      <c r="A15" s="12" t="s">
        <v>8</v>
      </c>
      <c r="B15" s="13">
        <f>SUM(B16:B22)</f>
        <v>127914.65000000001</v>
      </c>
      <c r="C15" s="13">
        <f>SUM(C16:C22)</f>
        <v>144722.67000000001</v>
      </c>
      <c r="D15" s="13">
        <f>SUM(D16:D22)</f>
        <v>120679.99</v>
      </c>
      <c r="E15" s="13">
        <f t="shared" ref="E15:M15" si="15">SUM(E16:E22)</f>
        <v>118074.15</v>
      </c>
      <c r="F15" s="13">
        <f t="shared" si="15"/>
        <v>109399.07000000002</v>
      </c>
      <c r="G15" s="13">
        <f t="shared" si="15"/>
        <v>102540.11</v>
      </c>
      <c r="H15" s="13">
        <f t="shared" si="15"/>
        <v>118323.91000000002</v>
      </c>
      <c r="I15" s="13">
        <f t="shared" si="15"/>
        <v>135631.03000000003</v>
      </c>
      <c r="J15" s="13">
        <f t="shared" si="15"/>
        <v>145832.21</v>
      </c>
      <c r="K15" s="13">
        <f t="shared" si="15"/>
        <v>122433.19000000002</v>
      </c>
      <c r="L15" s="13">
        <f t="shared" si="15"/>
        <v>137722.79</v>
      </c>
      <c r="M15" s="13">
        <f t="shared" si="15"/>
        <v>120172.82</v>
      </c>
      <c r="N15" s="13">
        <f>SUM(B15:M15)</f>
        <v>1503446.59</v>
      </c>
    </row>
    <row r="16" spans="1:18" ht="24" customHeight="1" thickBot="1" x14ac:dyDescent="0.3">
      <c r="A16" s="4" t="s">
        <v>27</v>
      </c>
      <c r="B16" s="11">
        <f>106439.3+15.8-103.93+1350.14</f>
        <v>107701.31000000001</v>
      </c>
      <c r="C16" s="11">
        <f>116900.72+963.35+1819.98</f>
        <v>119684.05</v>
      </c>
      <c r="D16" s="11">
        <f>15.8+102587.76+1298.13</f>
        <v>103901.69</v>
      </c>
      <c r="E16" s="11">
        <f>102326+15.8+1402.36</f>
        <v>103744.16</v>
      </c>
      <c r="F16" s="11">
        <f>98921.99+15.8+1314.66</f>
        <v>100252.45000000001</v>
      </c>
      <c r="G16" s="11">
        <f>94148.8+14.41+1251.71</f>
        <v>95414.920000000013</v>
      </c>
      <c r="H16" s="11">
        <f>99707.21+15.91+1283.01</f>
        <v>101006.13</v>
      </c>
      <c r="I16" s="11">
        <f>116912.9+17.08+1534.28</f>
        <v>118464.26</v>
      </c>
      <c r="J16" s="11">
        <f>122014.36+85.02+1498.39</f>
        <v>123597.77</v>
      </c>
      <c r="K16" s="11">
        <f>106400.37+15.8+151.19+1323.16</f>
        <v>107890.52</v>
      </c>
      <c r="L16" s="11">
        <f>117958.54+15.8-85.83+1601.98</f>
        <v>119490.48999999999</v>
      </c>
      <c r="M16" s="11">
        <f>102712.58+15.8+1380.49</f>
        <v>104108.87000000001</v>
      </c>
      <c r="N16" s="11">
        <f>SUM(B16:M16)</f>
        <v>1305256.6200000003</v>
      </c>
    </row>
    <row r="17" spans="1:15" ht="26.25" customHeight="1" thickBot="1" x14ac:dyDescent="0.3">
      <c r="A17" s="4" t="s">
        <v>17</v>
      </c>
      <c r="B17" s="11">
        <v>8876.4</v>
      </c>
      <c r="C17" s="11">
        <v>7653.01</v>
      </c>
      <c r="D17" s="11">
        <v>4750.37</v>
      </c>
      <c r="E17" s="11">
        <v>6781.03</v>
      </c>
      <c r="F17" s="11">
        <v>1983.06</v>
      </c>
      <c r="G17" s="11">
        <v>291.02999999999997</v>
      </c>
      <c r="H17" s="11">
        <v>536.48</v>
      </c>
      <c r="I17" s="11">
        <v>763.6</v>
      </c>
      <c r="J17" s="11">
        <v>5707.77</v>
      </c>
      <c r="K17" s="11">
        <v>3134.1</v>
      </c>
      <c r="L17" s="11">
        <v>2636.86</v>
      </c>
      <c r="M17" s="11">
        <v>0</v>
      </c>
      <c r="N17" s="11">
        <f t="shared" ref="N17:N22" si="16">SUM(B17:M17)</f>
        <v>43113.71</v>
      </c>
    </row>
    <row r="18" spans="1:15" ht="26.25" customHeight="1" thickBot="1" x14ac:dyDescent="0.3">
      <c r="A18" s="4" t="s">
        <v>18</v>
      </c>
      <c r="B18" s="11">
        <v>27.71</v>
      </c>
      <c r="C18" s="11">
        <v>17.21</v>
      </c>
      <c r="D18" s="11">
        <v>13.21</v>
      </c>
      <c r="E18" s="11">
        <v>12.97</v>
      </c>
      <c r="F18" s="11">
        <v>12.2</v>
      </c>
      <c r="G18" s="11">
        <v>19.510000000000002</v>
      </c>
      <c r="H18" s="11">
        <v>15.1</v>
      </c>
      <c r="I18" s="11">
        <v>17.72</v>
      </c>
      <c r="J18" s="11">
        <v>16.260000000000002</v>
      </c>
      <c r="K18" s="11">
        <v>25.49</v>
      </c>
      <c r="L18" s="11">
        <v>33.49</v>
      </c>
      <c r="M18" s="11">
        <v>22.46</v>
      </c>
      <c r="N18" s="11">
        <f t="shared" si="16"/>
        <v>233.33</v>
      </c>
    </row>
    <row r="19" spans="1:15" ht="24" customHeight="1" thickBot="1" x14ac:dyDescent="0.3">
      <c r="A19" s="4" t="s">
        <v>19</v>
      </c>
      <c r="B19" s="11">
        <v>1008.05</v>
      </c>
      <c r="C19" s="11">
        <v>4797.42</v>
      </c>
      <c r="D19" s="11">
        <v>5070.4399999999996</v>
      </c>
      <c r="E19" s="11">
        <v>266.43</v>
      </c>
      <c r="F19" s="11">
        <v>245.52</v>
      </c>
      <c r="G19" s="11">
        <v>285.89999999999998</v>
      </c>
      <c r="H19" s="11">
        <v>7383.83</v>
      </c>
      <c r="I19" s="11">
        <v>5134.96</v>
      </c>
      <c r="J19" s="11">
        <v>6761.31</v>
      </c>
      <c r="K19" s="11">
        <v>613.99</v>
      </c>
      <c r="L19" s="11">
        <v>2327.17</v>
      </c>
      <c r="M19" s="11">
        <v>4533.7299999999996</v>
      </c>
      <c r="N19" s="11">
        <f t="shared" si="16"/>
        <v>38428.75</v>
      </c>
    </row>
    <row r="20" spans="1:15" ht="24" customHeight="1" thickBot="1" x14ac:dyDescent="0.3">
      <c r="A20" s="4" t="s">
        <v>26</v>
      </c>
      <c r="B20" s="11">
        <v>608.17999999999995</v>
      </c>
      <c r="C20" s="11">
        <v>660.48</v>
      </c>
      <c r="D20" s="11">
        <v>579.42999999999995</v>
      </c>
      <c r="E20" s="11">
        <v>577.49</v>
      </c>
      <c r="F20" s="11">
        <v>558.46</v>
      </c>
      <c r="G20" s="11">
        <v>532.30999999999995</v>
      </c>
      <c r="H20" s="11">
        <v>563.13</v>
      </c>
      <c r="I20" s="11">
        <v>741.1</v>
      </c>
      <c r="J20" s="11">
        <v>772.61</v>
      </c>
      <c r="K20" s="11">
        <v>686.29</v>
      </c>
      <c r="L20" s="11">
        <v>757.6</v>
      </c>
      <c r="M20" s="11">
        <v>343.31</v>
      </c>
      <c r="N20" s="11">
        <f t="shared" si="16"/>
        <v>7380.39</v>
      </c>
    </row>
    <row r="21" spans="1:15" ht="24" customHeight="1" thickBot="1" x14ac:dyDescent="0.3">
      <c r="A21" s="4" t="s">
        <v>41</v>
      </c>
      <c r="B21" s="11">
        <v>6693</v>
      </c>
      <c r="C21" s="11">
        <v>11310.5</v>
      </c>
      <c r="D21" s="11">
        <v>5764.85</v>
      </c>
      <c r="E21" s="11">
        <v>6092.07</v>
      </c>
      <c r="F21" s="11">
        <v>5747.38</v>
      </c>
      <c r="G21" s="11">
        <v>5396.44</v>
      </c>
      <c r="H21" s="11">
        <v>7619.24</v>
      </c>
      <c r="I21" s="11">
        <v>8859.39</v>
      </c>
      <c r="J21" s="11">
        <v>8376.49</v>
      </c>
      <c r="K21" s="11">
        <v>8582.7999999999993</v>
      </c>
      <c r="L21" s="11">
        <v>11877.18</v>
      </c>
      <c r="M21" s="11">
        <v>8764.4500000000007</v>
      </c>
      <c r="N21" s="11">
        <f t="shared" si="16"/>
        <v>95083.79</v>
      </c>
    </row>
    <row r="22" spans="1:15" ht="21" customHeight="1" thickBot="1" x14ac:dyDescent="0.3">
      <c r="A22" s="4" t="s">
        <v>15</v>
      </c>
      <c r="B22" s="14">
        <v>3000</v>
      </c>
      <c r="C22" s="14">
        <v>600</v>
      </c>
      <c r="D22" s="14">
        <v>600</v>
      </c>
      <c r="E22" s="14">
        <v>600</v>
      </c>
      <c r="F22" s="14">
        <v>600</v>
      </c>
      <c r="G22" s="14">
        <v>600</v>
      </c>
      <c r="H22" s="14">
        <v>1200</v>
      </c>
      <c r="I22" s="14">
        <v>1650</v>
      </c>
      <c r="J22" s="14">
        <v>600</v>
      </c>
      <c r="K22" s="11">
        <v>1500</v>
      </c>
      <c r="L22" s="11">
        <v>600</v>
      </c>
      <c r="M22" s="11">
        <v>2400</v>
      </c>
      <c r="N22" s="11">
        <f t="shared" si="16"/>
        <v>13950</v>
      </c>
      <c r="O22" s="3"/>
    </row>
    <row r="23" spans="1:15" ht="21.75" customHeight="1" thickBot="1" x14ac:dyDescent="0.3">
      <c r="A23" s="15" t="s">
        <v>24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>4732.6*0.6</f>
        <v>2839.56</v>
      </c>
      <c r="C24" s="11">
        <f t="shared" ref="C24:M24" si="17">4732.6*0.6</f>
        <v>2839.56</v>
      </c>
      <c r="D24" s="11">
        <f t="shared" si="17"/>
        <v>2839.56</v>
      </c>
      <c r="E24" s="11">
        <f t="shared" si="17"/>
        <v>2839.56</v>
      </c>
      <c r="F24" s="11">
        <f t="shared" si="17"/>
        <v>2839.56</v>
      </c>
      <c r="G24" s="11">
        <f t="shared" si="17"/>
        <v>2839.56</v>
      </c>
      <c r="H24" s="11">
        <f t="shared" si="17"/>
        <v>2839.56</v>
      </c>
      <c r="I24" s="11">
        <f t="shared" si="17"/>
        <v>2839.56</v>
      </c>
      <c r="J24" s="11">
        <f t="shared" si="17"/>
        <v>2839.56</v>
      </c>
      <c r="K24" s="11">
        <f t="shared" si="17"/>
        <v>2839.56</v>
      </c>
      <c r="L24" s="11">
        <f t="shared" si="17"/>
        <v>2839.56</v>
      </c>
      <c r="M24" s="11">
        <f t="shared" si="17"/>
        <v>2839.56</v>
      </c>
      <c r="N24" s="11">
        <f>SUM(B24:M24)</f>
        <v>34074.720000000008</v>
      </c>
    </row>
    <row r="25" spans="1:15" ht="22.5" customHeight="1" thickBot="1" x14ac:dyDescent="0.3">
      <c r="A25" s="4" t="s">
        <v>2</v>
      </c>
      <c r="B25" s="11">
        <f>4732.6*0.17</f>
        <v>804.54200000000014</v>
      </c>
      <c r="C25" s="11">
        <f t="shared" ref="C25:M25" si="18">4732.6*0.17</f>
        <v>804.54200000000014</v>
      </c>
      <c r="D25" s="11">
        <f t="shared" si="18"/>
        <v>804.54200000000014</v>
      </c>
      <c r="E25" s="11">
        <f t="shared" si="18"/>
        <v>804.54200000000014</v>
      </c>
      <c r="F25" s="11">
        <f t="shared" si="18"/>
        <v>804.54200000000014</v>
      </c>
      <c r="G25" s="11">
        <f t="shared" si="18"/>
        <v>804.54200000000014</v>
      </c>
      <c r="H25" s="11">
        <f t="shared" si="18"/>
        <v>804.54200000000014</v>
      </c>
      <c r="I25" s="11">
        <f t="shared" si="18"/>
        <v>804.54200000000014</v>
      </c>
      <c r="J25" s="11">
        <f t="shared" si="18"/>
        <v>804.54200000000014</v>
      </c>
      <c r="K25" s="11">
        <f t="shared" si="18"/>
        <v>804.54200000000014</v>
      </c>
      <c r="L25" s="11">
        <f t="shared" si="18"/>
        <v>804.54200000000014</v>
      </c>
      <c r="M25" s="11">
        <f t="shared" si="18"/>
        <v>804.54200000000014</v>
      </c>
      <c r="N25" s="11">
        <f t="shared" ref="N25:N38" si="19">SUM(B25:M25)</f>
        <v>9654.5040000000026</v>
      </c>
    </row>
    <row r="26" spans="1:15" ht="21" customHeight="1" thickBot="1" x14ac:dyDescent="0.3">
      <c r="A26" s="4" t="s">
        <v>3</v>
      </c>
      <c r="B26" s="11">
        <f>125554.84*2.3%</f>
        <v>2887.7613200000001</v>
      </c>
      <c r="C26" s="11">
        <f>124415.16*2.3%</f>
        <v>2861.5486799999999</v>
      </c>
      <c r="D26" s="11">
        <f>121432.75*2.3%</f>
        <v>2792.95325</v>
      </c>
      <c r="E26" s="11">
        <f>116016.97*2.3%</f>
        <v>2668.3903099999998</v>
      </c>
      <c r="F26" s="11">
        <f>114326.3*2.3%</f>
        <v>2629.5048999999999</v>
      </c>
      <c r="G26" s="11">
        <f>125298.73*2.3%</f>
        <v>2881.8707899999999</v>
      </c>
      <c r="H26" s="11">
        <f>121675.09*2.3%</f>
        <v>2798.5270700000001</v>
      </c>
      <c r="I26" s="11">
        <f>128561.43*2.3%</f>
        <v>2956.9128899999996</v>
      </c>
      <c r="J26" s="11">
        <f>119772.49*2.3%</f>
        <v>2754.7672700000003</v>
      </c>
      <c r="K26" s="11">
        <f>120654.26*2.3%</f>
        <v>2775.0479799999998</v>
      </c>
      <c r="L26" s="11">
        <f>121340.58*2.3%</f>
        <v>2790.8333400000001</v>
      </c>
      <c r="M26" s="11">
        <f>114616.84*2.3%</f>
        <v>2636.18732</v>
      </c>
      <c r="N26" s="11">
        <f t="shared" si="19"/>
        <v>33434.305119999997</v>
      </c>
    </row>
    <row r="27" spans="1:15" ht="23.25" customHeight="1" thickBot="1" x14ac:dyDescent="0.3">
      <c r="A27" s="4" t="s">
        <v>4</v>
      </c>
      <c r="B27" s="11">
        <f>124914.65*3%</f>
        <v>3747.4394999999995</v>
      </c>
      <c r="C27" s="11">
        <f>144122.67*3%</f>
        <v>4323.6801000000005</v>
      </c>
      <c r="D27" s="11">
        <f>120079.99*3%</f>
        <v>3602.3996999999999</v>
      </c>
      <c r="E27" s="11">
        <f>117474.15*3%</f>
        <v>3524.2244999999998</v>
      </c>
      <c r="F27" s="11">
        <f>108799.07*3%</f>
        <v>3263.9721</v>
      </c>
      <c r="G27" s="11">
        <f>101940.11*3%</f>
        <v>3058.2033000000001</v>
      </c>
      <c r="H27" s="11">
        <f>117123.91*3%</f>
        <v>3513.7172999999998</v>
      </c>
      <c r="I27" s="11">
        <f>133981.03*3%</f>
        <v>4019.4308999999998</v>
      </c>
      <c r="J27" s="11">
        <f>145232.21*3%</f>
        <v>4356.9663</v>
      </c>
      <c r="K27" s="11">
        <f>120933.19*3%</f>
        <v>3627.9956999999999</v>
      </c>
      <c r="L27" s="11">
        <f>137122.79*3%</f>
        <v>4113.6837000000005</v>
      </c>
      <c r="M27" s="11">
        <f>117772.82*3%</f>
        <v>3533.1846</v>
      </c>
      <c r="N27" s="11">
        <f t="shared" si="19"/>
        <v>44684.897700000001</v>
      </c>
    </row>
    <row r="28" spans="1:15" ht="23.25" customHeight="1" thickBot="1" x14ac:dyDescent="0.3">
      <c r="A28" s="4" t="s">
        <v>9</v>
      </c>
      <c r="B28" s="23">
        <f>4732.6*9.7</f>
        <v>45906.22</v>
      </c>
      <c r="C28" s="23">
        <f t="shared" ref="C28:M28" si="20">4732.6*9.7</f>
        <v>45906.22</v>
      </c>
      <c r="D28" s="23">
        <f t="shared" si="20"/>
        <v>45906.22</v>
      </c>
      <c r="E28" s="23">
        <f t="shared" si="20"/>
        <v>45906.22</v>
      </c>
      <c r="F28" s="23">
        <f t="shared" si="20"/>
        <v>45906.22</v>
      </c>
      <c r="G28" s="23">
        <f t="shared" si="20"/>
        <v>45906.22</v>
      </c>
      <c r="H28" s="23">
        <f t="shared" si="20"/>
        <v>45906.22</v>
      </c>
      <c r="I28" s="23">
        <f t="shared" si="20"/>
        <v>45906.22</v>
      </c>
      <c r="J28" s="23">
        <f t="shared" si="20"/>
        <v>45906.22</v>
      </c>
      <c r="K28" s="23">
        <f t="shared" si="20"/>
        <v>45906.22</v>
      </c>
      <c r="L28" s="23">
        <f t="shared" si="20"/>
        <v>45906.22</v>
      </c>
      <c r="M28" s="23">
        <f t="shared" si="20"/>
        <v>45906.22</v>
      </c>
      <c r="N28" s="11">
        <f t="shared" si="19"/>
        <v>550874.6399999999</v>
      </c>
    </row>
    <row r="29" spans="1:15" ht="26.25" customHeight="1" thickBot="1" x14ac:dyDescent="0.3">
      <c r="A29" s="4" t="s">
        <v>20</v>
      </c>
      <c r="B29" s="11">
        <f>4134.4+525.93</f>
        <v>4660.33</v>
      </c>
      <c r="C29" s="11">
        <f>6304.5+801.93</f>
        <v>7106.43</v>
      </c>
      <c r="D29" s="11">
        <f>1499.87+190.81</f>
        <v>1690.6799999999998</v>
      </c>
      <c r="E29" s="11">
        <v>0</v>
      </c>
      <c r="F29" s="11">
        <v>0</v>
      </c>
      <c r="G29" s="11">
        <v>0</v>
      </c>
      <c r="H29" s="11">
        <f>4586.06+539.45</f>
        <v>5125.51</v>
      </c>
      <c r="I29" s="11">
        <f>2582.42+303.79</f>
        <v>2886.21</v>
      </c>
      <c r="J29" s="11">
        <f>1799.4+211.67</f>
        <v>2011.0700000000002</v>
      </c>
      <c r="K29" s="11">
        <v>0</v>
      </c>
      <c r="L29" s="11">
        <v>0</v>
      </c>
      <c r="M29" s="11">
        <v>0</v>
      </c>
      <c r="N29" s="11">
        <f t="shared" si="19"/>
        <v>23480.23</v>
      </c>
    </row>
    <row r="30" spans="1:15" ht="26.25" customHeight="1" thickBot="1" x14ac:dyDescent="0.3">
      <c r="A30" s="4" t="s">
        <v>21</v>
      </c>
      <c r="B30" s="11">
        <v>462.95</v>
      </c>
      <c r="C30" s="11">
        <v>462.95</v>
      </c>
      <c r="D30" s="11">
        <v>462.95</v>
      </c>
      <c r="E30" s="11">
        <v>462.95</v>
      </c>
      <c r="F30" s="11">
        <v>462.95</v>
      </c>
      <c r="G30" s="11">
        <v>462.95</v>
      </c>
      <c r="H30" s="11">
        <v>511.31</v>
      </c>
      <c r="I30" s="11">
        <v>511.31</v>
      </c>
      <c r="J30" s="11">
        <v>511.31</v>
      </c>
      <c r="K30" s="11">
        <v>511.31</v>
      </c>
      <c r="L30" s="11">
        <v>511.31</v>
      </c>
      <c r="M30" s="11">
        <v>511.31</v>
      </c>
      <c r="N30" s="11">
        <f t="shared" si="19"/>
        <v>5845.5600000000013</v>
      </c>
    </row>
    <row r="31" spans="1:15" ht="26.25" customHeight="1" thickBot="1" x14ac:dyDescent="0.3">
      <c r="A31" s="4" t="s">
        <v>22</v>
      </c>
      <c r="B31" s="11">
        <v>5365.2</v>
      </c>
      <c r="C31" s="11">
        <v>0</v>
      </c>
      <c r="D31" s="11">
        <v>0</v>
      </c>
      <c r="E31" s="11">
        <v>0</v>
      </c>
      <c r="F31" s="11">
        <v>8537.4</v>
      </c>
      <c r="G31" s="11">
        <v>4788.8999999999996</v>
      </c>
      <c r="H31" s="11">
        <v>6549.68</v>
      </c>
      <c r="I31" s="11">
        <v>0</v>
      </c>
      <c r="J31" s="11">
        <v>1756.96</v>
      </c>
      <c r="K31" s="11">
        <v>4798.28</v>
      </c>
      <c r="L31" s="11">
        <v>0</v>
      </c>
      <c r="M31" s="11">
        <v>0</v>
      </c>
      <c r="N31" s="11">
        <f t="shared" si="19"/>
        <v>31796.42</v>
      </c>
    </row>
    <row r="32" spans="1:15" ht="26.25" customHeight="1" thickBot="1" x14ac:dyDescent="0.3">
      <c r="A32" s="4" t="s">
        <v>26</v>
      </c>
      <c r="B32" s="11">
        <v>595.54</v>
      </c>
      <c r="C32" s="11">
        <v>595.54</v>
      </c>
      <c r="D32" s="11">
        <v>595.54</v>
      </c>
      <c r="E32" s="11">
        <v>595.54</v>
      </c>
      <c r="F32" s="11">
        <v>595.54</v>
      </c>
      <c r="G32" s="11">
        <v>595.54</v>
      </c>
      <c r="H32" s="11">
        <v>343.92</v>
      </c>
      <c r="I32" s="11">
        <v>343.92</v>
      </c>
      <c r="J32" s="11">
        <v>343.92</v>
      </c>
      <c r="K32" s="11">
        <v>343.92</v>
      </c>
      <c r="L32" s="11">
        <v>343.92</v>
      </c>
      <c r="M32" s="11">
        <v>343.92</v>
      </c>
      <c r="N32" s="11">
        <f t="shared" si="19"/>
        <v>5636.76</v>
      </c>
    </row>
    <row r="33" spans="1:14" ht="22.5" customHeight="1" thickBot="1" x14ac:dyDescent="0.3">
      <c r="A33" s="4" t="s">
        <v>6</v>
      </c>
      <c r="B33" s="23">
        <f>4732.6*3.35</f>
        <v>15854.210000000001</v>
      </c>
      <c r="C33" s="23">
        <f t="shared" ref="C33:M33" si="21">4732.6*3.35</f>
        <v>15854.210000000001</v>
      </c>
      <c r="D33" s="23">
        <f t="shared" si="21"/>
        <v>15854.210000000001</v>
      </c>
      <c r="E33" s="23">
        <f t="shared" si="21"/>
        <v>15854.210000000001</v>
      </c>
      <c r="F33" s="23">
        <f t="shared" si="21"/>
        <v>15854.210000000001</v>
      </c>
      <c r="G33" s="23">
        <f t="shared" si="21"/>
        <v>15854.210000000001</v>
      </c>
      <c r="H33" s="23">
        <f t="shared" si="21"/>
        <v>15854.210000000001</v>
      </c>
      <c r="I33" s="23">
        <f t="shared" si="21"/>
        <v>15854.210000000001</v>
      </c>
      <c r="J33" s="23">
        <f t="shared" si="21"/>
        <v>15854.210000000001</v>
      </c>
      <c r="K33" s="23">
        <f t="shared" si="21"/>
        <v>15854.210000000001</v>
      </c>
      <c r="L33" s="23">
        <f t="shared" si="21"/>
        <v>15854.210000000001</v>
      </c>
      <c r="M33" s="23">
        <f t="shared" si="21"/>
        <v>15854.210000000001</v>
      </c>
      <c r="N33" s="11">
        <f t="shared" si="19"/>
        <v>190250.52</v>
      </c>
    </row>
    <row r="34" spans="1:14" ht="21.75" customHeight="1" thickBot="1" x14ac:dyDescent="0.3">
      <c r="A34" s="4" t="s">
        <v>41</v>
      </c>
      <c r="B34" s="11">
        <v>0</v>
      </c>
      <c r="C34" s="11">
        <v>3923.14</v>
      </c>
      <c r="D34" s="11">
        <v>6447.35</v>
      </c>
      <c r="E34" s="11">
        <v>3286.4</v>
      </c>
      <c r="F34" s="11">
        <v>3472.45</v>
      </c>
      <c r="G34" s="11">
        <v>3275.16</v>
      </c>
      <c r="H34" s="11">
        <v>3076.51</v>
      </c>
      <c r="I34" s="11">
        <v>4342.47</v>
      </c>
      <c r="J34" s="11">
        <v>5050.57</v>
      </c>
      <c r="K34" s="11">
        <v>4774.54</v>
      </c>
      <c r="L34" s="11">
        <v>4891.96</v>
      </c>
      <c r="M34" s="11">
        <v>6770.03</v>
      </c>
      <c r="N34" s="11">
        <f t="shared" si="19"/>
        <v>49310.58</v>
      </c>
    </row>
    <row r="35" spans="1:14" ht="21.75" customHeight="1" thickBot="1" x14ac:dyDescent="0.3">
      <c r="A35" s="4" t="s">
        <v>42</v>
      </c>
      <c r="B35" s="11">
        <v>0</v>
      </c>
      <c r="C35" s="11">
        <f>2064.92+895</f>
        <v>2959.92</v>
      </c>
      <c r="D35" s="11">
        <f>3393.15+147</f>
        <v>3540.15</v>
      </c>
      <c r="E35" s="11">
        <f>749+1729.46</f>
        <v>2478.46</v>
      </c>
      <c r="F35" s="11">
        <f>792+1827.62</f>
        <v>2619.62</v>
      </c>
      <c r="G35" s="11">
        <f>748+1724.21</f>
        <v>2472.21</v>
      </c>
      <c r="H35" s="11">
        <f>701+1618.93</f>
        <v>2319.9300000000003</v>
      </c>
      <c r="I35" s="11">
        <f>991+2285.77</f>
        <v>3276.77</v>
      </c>
      <c r="J35" s="11">
        <f>1151+2657.82</f>
        <v>3808.82</v>
      </c>
      <c r="K35" s="11">
        <f>1089+2512.95</f>
        <v>3601.95</v>
      </c>
      <c r="L35" s="11">
        <f>1116+2574.84</f>
        <v>3690.84</v>
      </c>
      <c r="M35" s="11">
        <f>1544+3563.15</f>
        <v>5107.1499999999996</v>
      </c>
      <c r="N35" s="11">
        <f t="shared" si="19"/>
        <v>35875.82</v>
      </c>
    </row>
    <row r="36" spans="1:14" ht="22.5" customHeight="1" thickBot="1" x14ac:dyDescent="0.3">
      <c r="A36" s="4" t="s">
        <v>25</v>
      </c>
      <c r="B36" s="11">
        <v>900</v>
      </c>
      <c r="C36" s="11">
        <v>900</v>
      </c>
      <c r="D36" s="11">
        <v>900</v>
      </c>
      <c r="E36" s="11">
        <v>900</v>
      </c>
      <c r="F36" s="11">
        <v>900</v>
      </c>
      <c r="G36" s="11">
        <v>900</v>
      </c>
      <c r="H36" s="11">
        <v>900</v>
      </c>
      <c r="I36" s="11">
        <v>900</v>
      </c>
      <c r="J36" s="11">
        <v>900</v>
      </c>
      <c r="K36" s="11">
        <v>900</v>
      </c>
      <c r="L36" s="11">
        <v>900</v>
      </c>
      <c r="M36" s="11">
        <v>900</v>
      </c>
      <c r="N36" s="11">
        <f t="shared" si="19"/>
        <v>10800</v>
      </c>
    </row>
    <row r="37" spans="1:14" ht="24.75" customHeight="1" thickBot="1" x14ac:dyDescent="0.3">
      <c r="A37" s="4" t="s">
        <v>14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27944.53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 t="shared" si="19"/>
        <v>27944.53</v>
      </c>
    </row>
    <row r="38" spans="1:14" ht="24" customHeight="1" thickBot="1" x14ac:dyDescent="0.3">
      <c r="A38" s="4" t="s">
        <v>10</v>
      </c>
      <c r="B38" s="11">
        <f>3701.7+9244.5</f>
        <v>12946.2</v>
      </c>
      <c r="C38" s="11">
        <f>2752.4+5671.7+3898.2+7424.8+570.8+8572.4+8119.7+2597.1+83576.1</f>
        <v>123183.2</v>
      </c>
      <c r="D38" s="11">
        <f>1141.6+7896+31059.5+1334.7</f>
        <v>41431.799999999996</v>
      </c>
      <c r="E38" s="11">
        <f>903.8</f>
        <v>903.8</v>
      </c>
      <c r="F38" s="11">
        <f>85+4349.3+3852.7+121826</f>
        <v>130113</v>
      </c>
      <c r="G38" s="11">
        <f>6930+2124.5</f>
        <v>9054.5</v>
      </c>
      <c r="H38" s="11">
        <f>6696.4+2184+9704.5+29894.1+18272</f>
        <v>66751</v>
      </c>
      <c r="I38" s="11">
        <f>8054.7+1234.9</f>
        <v>9289.6</v>
      </c>
      <c r="J38" s="11">
        <f>1025.6+7801.5</f>
        <v>8827.1</v>
      </c>
      <c r="K38" s="11">
        <f>2366.2+105</f>
        <v>2471.1999999999998</v>
      </c>
      <c r="L38" s="11">
        <f>16786.5+105+1409.1</f>
        <v>18300.599999999999</v>
      </c>
      <c r="M38" s="11">
        <f>2500+1500+6962.5+230</f>
        <v>11192.5</v>
      </c>
      <c r="N38" s="11">
        <f t="shared" si="19"/>
        <v>434464.49999999994</v>
      </c>
    </row>
    <row r="39" spans="1:14" ht="22.5" customHeight="1" thickBot="1" x14ac:dyDescent="0.3">
      <c r="A39" s="9" t="s">
        <v>23</v>
      </c>
      <c r="B39" s="10">
        <f t="shared" ref="B39:M39" si="22">SUM(B24:B38)</f>
        <v>96969.952819999991</v>
      </c>
      <c r="C39" s="10">
        <f t="shared" si="22"/>
        <v>211720.94078</v>
      </c>
      <c r="D39" s="10">
        <f t="shared" si="22"/>
        <v>126868.35495000001</v>
      </c>
      <c r="E39" s="10">
        <f t="shared" si="22"/>
        <v>80224.29681</v>
      </c>
      <c r="F39" s="10">
        <f t="shared" si="22"/>
        <v>217998.96899999998</v>
      </c>
      <c r="G39" s="10">
        <f t="shared" si="22"/>
        <v>92893.86609000001</v>
      </c>
      <c r="H39" s="10">
        <f t="shared" si="22"/>
        <v>185239.16636999999</v>
      </c>
      <c r="I39" s="10">
        <f t="shared" si="22"/>
        <v>93931.155790000004</v>
      </c>
      <c r="J39" s="10">
        <f t="shared" si="22"/>
        <v>95726.015570000018</v>
      </c>
      <c r="K39" s="10">
        <f t="shared" si="22"/>
        <v>89208.775679999992</v>
      </c>
      <c r="L39" s="10">
        <f t="shared" si="22"/>
        <v>100947.67904000002</v>
      </c>
      <c r="M39" s="10">
        <f t="shared" si="22"/>
        <v>96398.813920000001</v>
      </c>
      <c r="N39" s="10">
        <f>SUM(B39:M39)</f>
        <v>1488127.9868200002</v>
      </c>
    </row>
    <row r="40" spans="1:14" ht="23.25" customHeight="1" thickBot="1" x14ac:dyDescent="0.3">
      <c r="A40" s="4" t="s">
        <v>5</v>
      </c>
      <c r="B40" s="18">
        <f t="shared" ref="B40:N40" si="23">B15-B39</f>
        <v>30944.697180000017</v>
      </c>
      <c r="C40" s="18">
        <f t="shared" si="23"/>
        <v>-66998.270779999992</v>
      </c>
      <c r="D40" s="18">
        <f t="shared" si="23"/>
        <v>-6188.3649500000029</v>
      </c>
      <c r="E40" s="18">
        <f t="shared" si="23"/>
        <v>37849.853189999994</v>
      </c>
      <c r="F40" s="18">
        <f t="shared" si="23"/>
        <v>-108599.89899999996</v>
      </c>
      <c r="G40" s="18">
        <f t="shared" si="23"/>
        <v>9646.2439099999901</v>
      </c>
      <c r="H40" s="18">
        <f t="shared" si="23"/>
        <v>-66915.256369999974</v>
      </c>
      <c r="I40" s="18">
        <f t="shared" si="23"/>
        <v>41699.874210000024</v>
      </c>
      <c r="J40" s="18">
        <f t="shared" si="23"/>
        <v>50106.194429999974</v>
      </c>
      <c r="K40" s="18">
        <f t="shared" si="23"/>
        <v>33224.414320000025</v>
      </c>
      <c r="L40" s="18">
        <f t="shared" si="23"/>
        <v>36775.110959999991</v>
      </c>
      <c r="M40" s="18">
        <f t="shared" si="23"/>
        <v>23774.006080000006</v>
      </c>
      <c r="N40" s="11">
        <f t="shared" si="23"/>
        <v>15318.60317999986</v>
      </c>
    </row>
    <row r="41" spans="1:14" ht="23.25" customHeight="1" thickBot="1" x14ac:dyDescent="0.3">
      <c r="A41" s="4" t="s">
        <v>7</v>
      </c>
      <c r="B41" s="14">
        <f>B5+B40</f>
        <v>-693029.89281999995</v>
      </c>
      <c r="C41" s="19">
        <f>B41+C40</f>
        <v>-760028.16359999997</v>
      </c>
      <c r="D41" s="19">
        <f t="shared" ref="D41:M41" si="24">C41+D40</f>
        <v>-766216.52854999993</v>
      </c>
      <c r="E41" s="19">
        <f t="shared" si="24"/>
        <v>-728366.67535999999</v>
      </c>
      <c r="F41" s="19">
        <f t="shared" si="24"/>
        <v>-836966.57435999997</v>
      </c>
      <c r="G41" s="19">
        <f t="shared" si="24"/>
        <v>-827320.33045000001</v>
      </c>
      <c r="H41" s="19">
        <f t="shared" si="24"/>
        <v>-894235.58681999997</v>
      </c>
      <c r="I41" s="19">
        <f t="shared" si="24"/>
        <v>-852535.71260999993</v>
      </c>
      <c r="J41" s="14">
        <f t="shared" si="24"/>
        <v>-802429.5181799999</v>
      </c>
      <c r="K41" s="19">
        <f t="shared" si="24"/>
        <v>-769205.10385999992</v>
      </c>
      <c r="L41" s="19">
        <f t="shared" si="24"/>
        <v>-732429.99289999995</v>
      </c>
      <c r="M41" s="19">
        <f t="shared" si="24"/>
        <v>-708655.98681999999</v>
      </c>
      <c r="N41" s="21">
        <f>N5+N40</f>
        <v>-708655.98682000011</v>
      </c>
    </row>
    <row r="42" spans="1:14" ht="23.25" customHeight="1" thickBot="1" x14ac:dyDescent="0.3">
      <c r="A42" s="4" t="s">
        <v>43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15332.23</v>
      </c>
      <c r="J42" s="24">
        <v>0</v>
      </c>
      <c r="K42" s="24">
        <v>0</v>
      </c>
      <c r="L42" s="24">
        <v>136404.68</v>
      </c>
      <c r="M42" s="24">
        <v>0</v>
      </c>
      <c r="N42" s="21">
        <f>SUM(B42:M42)</f>
        <v>151736.91</v>
      </c>
    </row>
    <row r="43" spans="1:14" ht="27" customHeight="1" thickBot="1" x14ac:dyDescent="0.3">
      <c r="A43" s="15" t="s">
        <v>11</v>
      </c>
      <c r="B43" s="20">
        <f>B6+B15-B7</f>
        <v>-243369.45</v>
      </c>
      <c r="C43" s="20">
        <f>C6+C15-C7</f>
        <v>-224031.94</v>
      </c>
      <c r="D43" s="20">
        <f>D6+D15-D7</f>
        <v>-225754.7</v>
      </c>
      <c r="E43" s="20">
        <f t="shared" ref="E43:H43" si="25">E6+E15-E7</f>
        <v>-224667.52000000002</v>
      </c>
      <c r="F43" s="20">
        <f t="shared" si="25"/>
        <v>-230564.75</v>
      </c>
      <c r="G43" s="20">
        <f t="shared" si="25"/>
        <v>-254293.37</v>
      </c>
      <c r="H43" s="20">
        <f t="shared" si="25"/>
        <v>-258614.55</v>
      </c>
      <c r="I43" s="20">
        <f>I6+I15-I7+I42</f>
        <v>-237182.71999999994</v>
      </c>
      <c r="J43" s="20">
        <f t="shared" ref="J43:M43" si="26">J6+J15-J7+J42</f>
        <v>-212092.99999999994</v>
      </c>
      <c r="K43" s="20">
        <f t="shared" si="26"/>
        <v>-211284.06999999995</v>
      </c>
      <c r="L43" s="20">
        <f t="shared" si="26"/>
        <v>-59467.179999999935</v>
      </c>
      <c r="M43" s="20">
        <f t="shared" si="26"/>
        <v>-54881.199999999939</v>
      </c>
      <c r="N43" s="22">
        <f>N6+N15-N7+N42</f>
        <v>-54881.200000000099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2025-03-05T08:49:55Z</cp:lastPrinted>
  <dcterms:created xsi:type="dcterms:W3CDTF">2011-06-06T03:25:48Z</dcterms:created>
  <dcterms:modified xsi:type="dcterms:W3CDTF">2025-03-05T08:57:18Z</dcterms:modified>
</cp:coreProperties>
</file>