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L40" i="1" l="1"/>
  <c r="M38" i="1" l="1"/>
  <c r="L38" i="1"/>
  <c r="K38" i="1"/>
  <c r="L35" i="1" l="1"/>
  <c r="M35" i="1"/>
  <c r="K35" i="1"/>
  <c r="K32" i="1"/>
  <c r="K40" i="1" l="1"/>
  <c r="M30" i="1" l="1"/>
  <c r="M18" i="1"/>
  <c r="M29" i="1"/>
  <c r="L30" i="1" l="1"/>
  <c r="L18" i="1"/>
  <c r="L29" i="1"/>
  <c r="N44" i="1"/>
  <c r="J45" i="1"/>
  <c r="N29" i="1" l="1"/>
  <c r="K30" i="1"/>
  <c r="K18" i="1"/>
  <c r="K29" i="1"/>
  <c r="K36" i="1" l="1"/>
  <c r="L36" i="1"/>
  <c r="M36" i="1"/>
  <c r="K31" i="1"/>
  <c r="L31" i="1"/>
  <c r="M31" i="1"/>
  <c r="K28" i="1"/>
  <c r="L28" i="1"/>
  <c r="M28" i="1"/>
  <c r="K27" i="1"/>
  <c r="L27" i="1"/>
  <c r="M27" i="1"/>
  <c r="I29" i="1" l="1"/>
  <c r="J40" i="1" l="1"/>
  <c r="I40" i="1" l="1"/>
  <c r="J35" i="1" l="1"/>
  <c r="I35" i="1"/>
  <c r="H35" i="1"/>
  <c r="J32" i="1" l="1"/>
  <c r="J38" i="1" l="1"/>
  <c r="I38" i="1"/>
  <c r="H38" i="1"/>
  <c r="J30" i="1" l="1"/>
  <c r="J18" i="1"/>
  <c r="J29" i="1"/>
  <c r="H40" i="1" l="1"/>
  <c r="I30" i="1" l="1"/>
  <c r="I18" i="1"/>
  <c r="H30" i="1" l="1"/>
  <c r="H18" i="1"/>
  <c r="H29" i="1"/>
  <c r="H36" i="1"/>
  <c r="I36" i="1"/>
  <c r="J36" i="1"/>
  <c r="H31" i="1" l="1"/>
  <c r="I31" i="1"/>
  <c r="J31" i="1"/>
  <c r="H28" i="1"/>
  <c r="I28" i="1"/>
  <c r="J28" i="1"/>
  <c r="H27" i="1"/>
  <c r="I27" i="1"/>
  <c r="J27" i="1"/>
  <c r="G32" i="1" l="1"/>
  <c r="G38" i="1" l="1"/>
  <c r="F38" i="1"/>
  <c r="E38" i="1"/>
  <c r="N39" i="1" l="1"/>
  <c r="F40" i="1" l="1"/>
  <c r="G30" i="1" l="1"/>
  <c r="G18" i="1"/>
  <c r="G29" i="1"/>
  <c r="F30" i="1" l="1"/>
  <c r="F18" i="1"/>
  <c r="F29" i="1"/>
  <c r="E30" i="1" l="1"/>
  <c r="E18" i="1"/>
  <c r="E29" i="1" l="1"/>
  <c r="E40" i="1" l="1"/>
  <c r="E36" i="1" l="1"/>
  <c r="F36" i="1"/>
  <c r="G36" i="1"/>
  <c r="E31" i="1"/>
  <c r="F31" i="1"/>
  <c r="G31" i="1"/>
  <c r="E28" i="1"/>
  <c r="F28" i="1"/>
  <c r="G28" i="1"/>
  <c r="E27" i="1"/>
  <c r="F27" i="1"/>
  <c r="G27" i="1"/>
  <c r="D38" i="1" l="1"/>
  <c r="C38" i="1"/>
  <c r="D40" i="1" l="1"/>
  <c r="D32" i="1" l="1"/>
  <c r="C32" i="1"/>
  <c r="B32" i="1"/>
  <c r="C36" i="1" l="1"/>
  <c r="D36" i="1"/>
  <c r="B36" i="1"/>
  <c r="C31" i="1"/>
  <c r="D31" i="1"/>
  <c r="B31" i="1"/>
  <c r="C28" i="1"/>
  <c r="D28" i="1"/>
  <c r="B28" i="1"/>
  <c r="C27" i="1"/>
  <c r="D27" i="1"/>
  <c r="B27" i="1"/>
  <c r="C40" i="1" l="1"/>
  <c r="N38" i="1" l="1"/>
  <c r="D30" i="1" l="1"/>
  <c r="D18" i="1"/>
  <c r="D29" i="1"/>
  <c r="B40" i="1" l="1"/>
  <c r="N40" i="1" s="1"/>
  <c r="C30" i="1" l="1"/>
  <c r="C18" i="1"/>
  <c r="C29" i="1"/>
  <c r="B30" i="1" l="1"/>
  <c r="B18" i="1"/>
  <c r="B29" i="1"/>
  <c r="N37" i="1" l="1"/>
  <c r="N24" i="1" l="1"/>
  <c r="N15" i="1"/>
  <c r="N23" i="1" l="1"/>
  <c r="N14" i="1" l="1"/>
  <c r="D17" i="1" l="1"/>
  <c r="N7" i="1" l="1"/>
  <c r="N6" i="1"/>
  <c r="N25" i="1"/>
  <c r="N27" i="1" l="1"/>
  <c r="N28" i="1"/>
  <c r="N31" i="1"/>
  <c r="N32" i="1"/>
  <c r="N33" i="1"/>
  <c r="N34" i="1"/>
  <c r="N35" i="1"/>
  <c r="N19" i="1"/>
  <c r="N20" i="1"/>
  <c r="N21" i="1"/>
  <c r="N22" i="1"/>
  <c r="N18" i="1"/>
  <c r="K17" i="1"/>
  <c r="L17" i="1"/>
  <c r="M17" i="1"/>
  <c r="N10" i="1"/>
  <c r="N11" i="1"/>
  <c r="N12" i="1"/>
  <c r="N13" i="1"/>
  <c r="N16" i="1"/>
  <c r="N9" i="1"/>
  <c r="K8" i="1"/>
  <c r="L8" i="1"/>
  <c r="M8" i="1"/>
  <c r="M41" i="1" l="1"/>
  <c r="M42" i="1" s="1"/>
  <c r="L41" i="1"/>
  <c r="L42" i="1" s="1"/>
  <c r="N30" i="1"/>
  <c r="K41" i="1" l="1"/>
  <c r="K42" i="1" l="1"/>
  <c r="I17" i="1"/>
  <c r="H17" i="1"/>
  <c r="J17" i="1"/>
  <c r="H8" i="1"/>
  <c r="J8" i="1" l="1"/>
  <c r="I8" i="1"/>
  <c r="I41" i="1"/>
  <c r="I42" i="1" s="1"/>
  <c r="J41" i="1" l="1"/>
  <c r="J42" i="1" s="1"/>
  <c r="H41" i="1"/>
  <c r="G8" i="1"/>
  <c r="E8" i="1"/>
  <c r="E17" i="1"/>
  <c r="F17" i="1"/>
  <c r="G17" i="1"/>
  <c r="F8" i="1"/>
  <c r="D8" i="1"/>
  <c r="C17" i="1"/>
  <c r="C8" i="1"/>
  <c r="B17" i="1"/>
  <c r="N36" i="1" s="1"/>
  <c r="B8" i="1"/>
  <c r="G41" i="1" l="1"/>
  <c r="G42" i="1" s="1"/>
  <c r="D41" i="1"/>
  <c r="D42" i="1" s="1"/>
  <c r="N8" i="1"/>
  <c r="N17" i="1"/>
  <c r="H42" i="1"/>
  <c r="C41" i="1"/>
  <c r="C42" i="1" s="1"/>
  <c r="F41" i="1"/>
  <c r="F42" i="1" s="1"/>
  <c r="E41" i="1"/>
  <c r="B45" i="1"/>
  <c r="C7" i="1" s="1"/>
  <c r="N45" i="1" l="1"/>
  <c r="C45" i="1"/>
  <c r="D7" i="1" s="1"/>
  <c r="D45" i="1" s="1"/>
  <c r="E7" i="1" s="1"/>
  <c r="E45" i="1" s="1"/>
  <c r="B41" i="1"/>
  <c r="F7" i="1" l="1"/>
  <c r="B42" i="1"/>
  <c r="B43" i="1" s="1"/>
  <c r="C43" i="1" s="1"/>
  <c r="E42" i="1"/>
  <c r="N41" i="1" l="1"/>
  <c r="N42" i="1" s="1"/>
  <c r="N43" i="1" s="1"/>
  <c r="F45" i="1"/>
  <c r="G7" i="1" s="1"/>
  <c r="D43" i="1"/>
  <c r="E6" i="1" s="1"/>
  <c r="D6" i="1"/>
  <c r="C6" i="1"/>
  <c r="G45" i="1" l="1"/>
  <c r="H7" i="1" s="1"/>
  <c r="H45" i="1" s="1"/>
  <c r="I7" i="1" s="1"/>
  <c r="I45" i="1" s="1"/>
  <c r="E43" i="1"/>
  <c r="J7" i="1" l="1"/>
  <c r="F43" i="1"/>
  <c r="G43" i="1" s="1"/>
  <c r="F6" i="1"/>
  <c r="K7" i="1" l="1"/>
  <c r="K45" i="1" s="1"/>
  <c r="G6" i="1"/>
  <c r="L7" i="1" l="1"/>
  <c r="L45" i="1" s="1"/>
  <c r="H43" i="1"/>
  <c r="H6" i="1"/>
  <c r="M7" i="1" l="1"/>
  <c r="M45" i="1" s="1"/>
  <c r="I43" i="1"/>
  <c r="I6" i="1"/>
  <c r="J43" i="1" l="1"/>
  <c r="J6" i="1"/>
  <c r="K43" i="1" l="1"/>
  <c r="K6" i="1"/>
  <c r="L43" i="1" l="1"/>
  <c r="L6" i="1"/>
  <c r="M43" i="1" l="1"/>
  <c r="M6" i="1"/>
</calcChain>
</file>

<file path=xl/sharedStrings.xml><?xml version="1.0" encoding="utf-8"?>
<sst xmlns="http://schemas.openxmlformats.org/spreadsheetml/2006/main" count="56" uniqueCount="47">
  <si>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</si>
  <si>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</si>
  <si>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</si>
  <si>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</si>
  <si>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</si>
  <si>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</si>
  <si>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</si>
  <si>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</si>
  <si>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</si>
  <si>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</si>
  <si>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</si>
  <si>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</si>
  <si>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</si>
  <si>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</si>
  <si>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</si>
  <si>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</si>
  <si>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</si>
  <si>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</si>
  <si>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</si>
  <si>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</si>
  <si>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</si>
  <si>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</si>
  <si>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</si>
  <si>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</si>
  <si>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Разина, 1/1</t>
  </si>
  <si>
    <t>Отведение сточных вод на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</si>
  <si>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</si>
  <si>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</si>
  <si>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</si>
  <si>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Установка ОДПУ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</si>
  <si>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</si>
  <si>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</si>
  <si>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</si>
  <si>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</si>
  <si>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</si>
  <si>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</si>
  <si>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</si>
  <si>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</si>
  <si>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</si>
  <si>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</si>
  <si>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</si>
  <si>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</si>
  <si>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</si>
  <si>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</si>
  <si>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</si>
  <si>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</si>
  <si>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01.01.2024г. по 31.12.2024г.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</si>
</sst>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zoomScale="75" workbookViewId="0">
      <selection activeCell="A3" sqref="A1:I1048576"/>
    </sheetView>
  </sheetViews>
  <sheetFormatPr defaultRowHeight="13.2" x14ac:dyDescent="0.25"/>
  <cols>
    <col min="1" max="1" width="58.6640625" customWidth="1"/>
    <col min="2" max="2" width="14.33203125" customWidth="1"/>
    <col min="3" max="3" width="14.109375" customWidth="1"/>
    <col min="4" max="4" width="14.33203125" customWidth="1"/>
    <col min="5" max="5" width="14.44140625" customWidth="1"/>
    <col min="6" max="6" width="13.88671875" customWidth="1"/>
    <col min="7" max="7" width="14.44140625" customWidth="1"/>
    <col min="8" max="8" width="13.88671875" customWidth="1"/>
    <col min="9" max="9" width="14.44140625" customWidth="1"/>
    <col min="10" max="13" width="13.88671875" customWidth="1"/>
    <col min="14" max="14" width="16.33203125" customWidth="1"/>
  </cols>
  <sheetData>
    <row r="1" spans="1:18" ht="20.25" customHeight="1" x14ac:dyDescent="0.4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20.399999999999999" x14ac:dyDescent="0.35">
      <c r="A2" s="24" t="s">
        <v>46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30</v>
      </c>
      <c r="C5" s="6" t="s">
        <v>31</v>
      </c>
      <c r="D5" s="6" t="s">
        <v>32</v>
      </c>
      <c r="E5" s="6" t="s">
        <v>33</v>
      </c>
      <c r="F5" s="6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N5" s="6" t="s">
        <v>42</v>
      </c>
    </row>
    <row r="6" spans="1:18" ht="23.25" customHeight="1" thickBot="1" x14ac:dyDescent="0.3">
      <c r="A6" s="7" t="s">
        <v>15</v>
      </c>
      <c r="B6" s="8">
        <v>-237639.42</v>
      </c>
      <c r="C6" s="8">
        <f>B43</f>
        <v>-210067.22389000002</v>
      </c>
      <c r="D6" s="8">
        <f t="shared" ref="D6" si="0">C43</f>
        <v>-161148.07253</v>
      </c>
      <c r="E6" s="8">
        <f t="shared" ref="E6" si="1">D43</f>
        <v>-578283.91902999999</v>
      </c>
      <c r="F6" s="8">
        <f t="shared" ref="F6" si="2">E43</f>
        <v>-629815.88893000002</v>
      </c>
      <c r="G6" s="8">
        <f t="shared" ref="G6" si="3">F43</f>
        <v>-609111.97771000001</v>
      </c>
      <c r="H6" s="8">
        <f t="shared" ref="H6" si="4">G43</f>
        <v>-597708.51820000005</v>
      </c>
      <c r="I6" s="8">
        <f t="shared" ref="I6" si="5">H43</f>
        <v>-656709.21106000012</v>
      </c>
      <c r="J6" s="8">
        <f t="shared" ref="J6" si="6">I43</f>
        <v>-618696.01838000014</v>
      </c>
      <c r="K6" s="8">
        <f t="shared" ref="K6" si="7">J43</f>
        <v>-620426.59556000016</v>
      </c>
      <c r="L6" s="8">
        <f t="shared" ref="L6" si="8">K43</f>
        <v>-602256.77825000021</v>
      </c>
      <c r="M6" s="8">
        <f t="shared" ref="M6" si="9">L43</f>
        <v>-591623.56811000023</v>
      </c>
      <c r="N6" s="8">
        <f>B6</f>
        <v>-237639.42</v>
      </c>
    </row>
    <row r="7" spans="1:18" ht="21" customHeight="1" thickBot="1" x14ac:dyDescent="0.3">
      <c r="A7" s="7" t="s">
        <v>13</v>
      </c>
      <c r="B7" s="8">
        <v>-380641.66</v>
      </c>
      <c r="C7" s="8">
        <f t="shared" ref="C7:M7" si="10">B45</f>
        <v>-364134.13</v>
      </c>
      <c r="D7" s="8">
        <f t="shared" si="10"/>
        <v>-318217.13999999996</v>
      </c>
      <c r="E7" s="8">
        <f t="shared" si="10"/>
        <v>-288662.68999999994</v>
      </c>
      <c r="F7" s="8">
        <f t="shared" si="10"/>
        <v>-270052.15999999992</v>
      </c>
      <c r="G7" s="8">
        <f t="shared" si="10"/>
        <v>-247500.09999999992</v>
      </c>
      <c r="H7" s="8">
        <f t="shared" si="10"/>
        <v>-239814.59999999992</v>
      </c>
      <c r="I7" s="8">
        <f t="shared" si="10"/>
        <v>-229621.63999999996</v>
      </c>
      <c r="J7" s="8">
        <f t="shared" si="10"/>
        <v>-185689.16999999998</v>
      </c>
      <c r="K7" s="8">
        <f t="shared" si="10"/>
        <v>-183344.30999999997</v>
      </c>
      <c r="L7" s="8">
        <f t="shared" si="10"/>
        <v>-178523.72999999998</v>
      </c>
      <c r="M7" s="8">
        <f t="shared" si="10"/>
        <v>-173858.15999999997</v>
      </c>
      <c r="N7" s="8">
        <f>B7</f>
        <v>-380641.66</v>
      </c>
    </row>
    <row r="8" spans="1:18" ht="20.25" customHeight="1" thickBot="1" x14ac:dyDescent="0.3">
      <c r="A8" s="9" t="s">
        <v>12</v>
      </c>
      <c r="B8" s="10">
        <f>SUM(B9:B16)</f>
        <v>37957.83</v>
      </c>
      <c r="C8" s="10">
        <f>SUM(C9:C16)</f>
        <v>37708.980000000003</v>
      </c>
      <c r="D8" s="10">
        <f>SUM(D9:D16)</f>
        <v>37990</v>
      </c>
      <c r="E8" s="10">
        <f t="shared" ref="E8:M8" si="11">SUM(E9:E16)</f>
        <v>40087</v>
      </c>
      <c r="F8" s="10">
        <f t="shared" si="11"/>
        <v>37243.660000000003</v>
      </c>
      <c r="G8" s="10">
        <f t="shared" si="11"/>
        <v>38665.33</v>
      </c>
      <c r="H8" s="10">
        <f t="shared" si="11"/>
        <v>45070.020000000004</v>
      </c>
      <c r="I8" s="10">
        <f t="shared" si="11"/>
        <v>38762.04</v>
      </c>
      <c r="J8" s="10">
        <f t="shared" si="11"/>
        <v>40868.46</v>
      </c>
      <c r="K8" s="10">
        <f t="shared" si="11"/>
        <v>44161.93</v>
      </c>
      <c r="L8" s="10">
        <f t="shared" si="11"/>
        <v>38797.919999999998</v>
      </c>
      <c r="M8" s="10">
        <f t="shared" si="11"/>
        <v>38761.96</v>
      </c>
      <c r="N8" s="10">
        <f>SUM(B8:M8)</f>
        <v>476075.13</v>
      </c>
    </row>
    <row r="9" spans="1:18" ht="24.75" customHeight="1" thickBot="1" x14ac:dyDescent="0.3">
      <c r="A9" s="4" t="s">
        <v>26</v>
      </c>
      <c r="B9" s="11">
        <v>32807.040000000001</v>
      </c>
      <c r="C9" s="11">
        <v>32090.31</v>
      </c>
      <c r="D9" s="11">
        <v>32600.29</v>
      </c>
      <c r="E9" s="11">
        <v>32600.29</v>
      </c>
      <c r="F9" s="11">
        <v>32600.29</v>
      </c>
      <c r="G9" s="11">
        <v>32600.29</v>
      </c>
      <c r="H9" s="11">
        <v>32600.29</v>
      </c>
      <c r="I9" s="11">
        <v>32600.29</v>
      </c>
      <c r="J9" s="11">
        <v>32600.29</v>
      </c>
      <c r="K9" s="11">
        <v>32600.29</v>
      </c>
      <c r="L9" s="11">
        <v>32600.29</v>
      </c>
      <c r="M9" s="11">
        <v>32600.29</v>
      </c>
      <c r="N9" s="11">
        <f>SUM(B9:M9)</f>
        <v>390900.25</v>
      </c>
    </row>
    <row r="10" spans="1:18" ht="24.75" customHeight="1" thickBot="1" x14ac:dyDescent="0.3">
      <c r="A10" s="4" t="s">
        <v>16</v>
      </c>
      <c r="B10" s="11">
        <v>1421.66</v>
      </c>
      <c r="C10" s="11">
        <v>1421.67</v>
      </c>
      <c r="D10" s="11">
        <v>1421.67</v>
      </c>
      <c r="E10" s="11">
        <v>1421.67</v>
      </c>
      <c r="F10" s="11">
        <v>-1421.67</v>
      </c>
      <c r="G10" s="11">
        <v>0</v>
      </c>
      <c r="H10" s="11">
        <v>6307.98</v>
      </c>
      <c r="I10" s="11">
        <v>0</v>
      </c>
      <c r="J10" s="11">
        <v>0</v>
      </c>
      <c r="K10" s="11">
        <v>1621.84</v>
      </c>
      <c r="L10" s="11">
        <v>35.96</v>
      </c>
      <c r="M10" s="11">
        <v>0</v>
      </c>
      <c r="N10" s="11">
        <f t="shared" ref="N10:N16" si="12">SUM(B10:M10)</f>
        <v>12230.779999999999</v>
      </c>
    </row>
    <row r="11" spans="1:18" ht="21.75" customHeight="1" thickBot="1" x14ac:dyDescent="0.3">
      <c r="A11" s="4" t="s">
        <v>17</v>
      </c>
      <c r="B11" s="11">
        <v>0</v>
      </c>
      <c r="C11" s="11">
        <v>467.95</v>
      </c>
      <c r="D11" s="11">
        <v>238.99</v>
      </c>
      <c r="E11" s="11">
        <v>238.99</v>
      </c>
      <c r="F11" s="11">
        <v>238.99</v>
      </c>
      <c r="G11" s="11">
        <v>238.99</v>
      </c>
      <c r="H11" s="11">
        <v>264.02999999999997</v>
      </c>
      <c r="I11" s="11">
        <v>264.02999999999997</v>
      </c>
      <c r="J11" s="11">
        <v>264.02999999999997</v>
      </c>
      <c r="K11" s="11">
        <v>264.02999999999997</v>
      </c>
      <c r="L11" s="11">
        <v>264.02999999999997</v>
      </c>
      <c r="M11" s="11">
        <v>264.02999999999997</v>
      </c>
      <c r="N11" s="11">
        <f t="shared" si="12"/>
        <v>3008.0899999999992</v>
      </c>
    </row>
    <row r="12" spans="1:18" ht="22.5" customHeight="1" thickBot="1" x14ac:dyDescent="0.3">
      <c r="A12" s="4" t="s">
        <v>18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2106.42</v>
      </c>
      <c r="K12" s="11">
        <v>3778.05</v>
      </c>
      <c r="L12" s="11">
        <v>0</v>
      </c>
      <c r="M12" s="11">
        <v>0</v>
      </c>
      <c r="N12" s="11">
        <f t="shared" si="12"/>
        <v>5884.47</v>
      </c>
    </row>
    <row r="13" spans="1:18" ht="22.5" customHeight="1" thickBot="1" x14ac:dyDescent="0.3">
      <c r="A13" s="4" t="s">
        <v>25</v>
      </c>
      <c r="B13" s="11">
        <v>461.13</v>
      </c>
      <c r="C13" s="11">
        <v>461.05</v>
      </c>
      <c r="D13" s="11">
        <v>461.05</v>
      </c>
      <c r="E13" s="11">
        <v>461.05</v>
      </c>
      <c r="F13" s="11">
        <v>461.05</v>
      </c>
      <c r="G13" s="11">
        <v>461.05</v>
      </c>
      <c r="H13" s="11">
        <v>532.72</v>
      </c>
      <c r="I13" s="11">
        <v>532.72</v>
      </c>
      <c r="J13" s="11">
        <v>532.72</v>
      </c>
      <c r="K13" s="11">
        <v>532.72</v>
      </c>
      <c r="L13" s="11">
        <v>532.64</v>
      </c>
      <c r="M13" s="11">
        <v>532.64</v>
      </c>
      <c r="N13" s="11">
        <f t="shared" si="12"/>
        <v>5962.5400000000018</v>
      </c>
    </row>
    <row r="14" spans="1:18" ht="22.5" hidden="1" customHeight="1" thickBot="1" x14ac:dyDescent="0.3">
      <c r="A14" s="4" t="s">
        <v>29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f t="shared" si="12"/>
        <v>0</v>
      </c>
    </row>
    <row r="15" spans="1:18" ht="22.5" customHeight="1" thickBot="1" x14ac:dyDescent="0.3">
      <c r="A15" s="4" t="s">
        <v>43</v>
      </c>
      <c r="B15" s="11">
        <v>3168</v>
      </c>
      <c r="C15" s="11">
        <v>3168</v>
      </c>
      <c r="D15" s="11">
        <v>3168</v>
      </c>
      <c r="E15" s="11">
        <v>5265</v>
      </c>
      <c r="F15" s="11">
        <v>5265</v>
      </c>
      <c r="G15" s="11">
        <v>5265</v>
      </c>
      <c r="H15" s="11">
        <v>5265</v>
      </c>
      <c r="I15" s="11">
        <v>5265</v>
      </c>
      <c r="J15" s="11">
        <v>5265</v>
      </c>
      <c r="K15" s="11">
        <v>5265</v>
      </c>
      <c r="L15" s="11">
        <v>5265</v>
      </c>
      <c r="M15" s="11">
        <v>5265</v>
      </c>
      <c r="N15" s="11">
        <f t="shared" si="12"/>
        <v>56889</v>
      </c>
    </row>
    <row r="16" spans="1:18" ht="24" customHeight="1" thickBot="1" x14ac:dyDescent="0.3">
      <c r="A16" s="4" t="s">
        <v>14</v>
      </c>
      <c r="B16" s="11">
        <v>100</v>
      </c>
      <c r="C16" s="11">
        <v>100</v>
      </c>
      <c r="D16" s="11">
        <v>100</v>
      </c>
      <c r="E16" s="11">
        <v>100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  <c r="L16" s="11">
        <v>100</v>
      </c>
      <c r="M16" s="11">
        <v>100</v>
      </c>
      <c r="N16" s="11">
        <f t="shared" si="12"/>
        <v>1200</v>
      </c>
    </row>
    <row r="17" spans="1:15" ht="20.25" customHeight="1" thickBot="1" x14ac:dyDescent="0.3">
      <c r="A17" s="12" t="s">
        <v>8</v>
      </c>
      <c r="B17" s="13">
        <f>SUM(B18:B25)</f>
        <v>54465.36</v>
      </c>
      <c r="C17" s="13">
        <f>SUM(C18:C25)</f>
        <v>83625.970000000016</v>
      </c>
      <c r="D17" s="13">
        <f>SUM(D18:D25)</f>
        <v>67544.450000000012</v>
      </c>
      <c r="E17" s="13">
        <f t="shared" ref="E17:M17" si="13">SUM(E18:E25)</f>
        <v>58697.53</v>
      </c>
      <c r="F17" s="13">
        <f t="shared" si="13"/>
        <v>59795.72</v>
      </c>
      <c r="G17" s="13">
        <f t="shared" si="13"/>
        <v>46350.830000000009</v>
      </c>
      <c r="H17" s="13">
        <f t="shared" si="13"/>
        <v>55262.979999999996</v>
      </c>
      <c r="I17" s="13">
        <f t="shared" si="13"/>
        <v>77819.579999999987</v>
      </c>
      <c r="J17" s="13">
        <f t="shared" si="13"/>
        <v>43213.32</v>
      </c>
      <c r="K17" s="13">
        <f t="shared" si="13"/>
        <v>48982.509999999995</v>
      </c>
      <c r="L17" s="13">
        <f t="shared" si="13"/>
        <v>43463.49</v>
      </c>
      <c r="M17" s="13">
        <f t="shared" si="13"/>
        <v>43552.369999999995</v>
      </c>
      <c r="N17" s="13">
        <f>SUM(B17:M17)</f>
        <v>682774.11</v>
      </c>
    </row>
    <row r="18" spans="1:15" ht="24" customHeight="1" thickBot="1" x14ac:dyDescent="0.3">
      <c r="A18" s="4" t="s">
        <v>27</v>
      </c>
      <c r="B18" s="11">
        <f>27252.47+22994.4</f>
        <v>50246.87</v>
      </c>
      <c r="C18" s="11">
        <f>43003.48+34284.48</f>
        <v>77287.960000000006</v>
      </c>
      <c r="D18" s="11">
        <f>31132.33+31739.49</f>
        <v>62871.820000000007</v>
      </c>
      <c r="E18" s="11">
        <f>31133.08+23015.59</f>
        <v>54148.67</v>
      </c>
      <c r="F18" s="11">
        <f>31198.49-343.32+22784.71</f>
        <v>53639.880000000005</v>
      </c>
      <c r="G18" s="11">
        <f>31238.75+10073.83</f>
        <v>41312.58</v>
      </c>
      <c r="H18" s="11">
        <f>33607.99+16384.76</f>
        <v>49992.75</v>
      </c>
      <c r="I18" s="11">
        <f>42678.77+23938.53</f>
        <v>66617.299999999988</v>
      </c>
      <c r="J18" s="11">
        <f>31854.27+6137.03</f>
        <v>37991.300000000003</v>
      </c>
      <c r="K18" s="11">
        <f>37844.67+3355</f>
        <v>41199.67</v>
      </c>
      <c r="L18" s="11">
        <f>30395.55+2979.75</f>
        <v>33375.300000000003</v>
      </c>
      <c r="M18" s="11">
        <f>34590.83+2954.88</f>
        <v>37545.71</v>
      </c>
      <c r="N18" s="11">
        <f>SUM(B18:M18)</f>
        <v>606229.81000000006</v>
      </c>
    </row>
    <row r="19" spans="1:15" ht="26.25" customHeight="1" thickBot="1" x14ac:dyDescent="0.3">
      <c r="A19" s="4" t="s">
        <v>16</v>
      </c>
      <c r="B19" s="11">
        <v>1180.95</v>
      </c>
      <c r="C19" s="11">
        <v>1882.74</v>
      </c>
      <c r="D19" s="11">
        <v>1361.58</v>
      </c>
      <c r="E19" s="11">
        <v>1360.45</v>
      </c>
      <c r="F19" s="11">
        <v>1247.02</v>
      </c>
      <c r="G19" s="11">
        <v>125.07</v>
      </c>
      <c r="H19" s="11">
        <v>220.24</v>
      </c>
      <c r="I19" s="11">
        <v>4831.05</v>
      </c>
      <c r="J19" s="11">
        <v>314.57</v>
      </c>
      <c r="K19" s="11">
        <v>354.72</v>
      </c>
      <c r="L19" s="11">
        <v>1475.68</v>
      </c>
      <c r="M19" s="11">
        <v>179.52</v>
      </c>
      <c r="N19" s="11">
        <f t="shared" ref="N19:N24" si="14">SUM(B19:M19)</f>
        <v>14533.589999999998</v>
      </c>
    </row>
    <row r="20" spans="1:15" ht="26.25" customHeight="1" thickBot="1" x14ac:dyDescent="0.3">
      <c r="A20" s="4" t="s">
        <v>17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 t="shared" si="14"/>
        <v>0</v>
      </c>
    </row>
    <row r="21" spans="1:15" ht="24" customHeight="1" thickBot="1" x14ac:dyDescent="0.3">
      <c r="A21" s="4" t="s">
        <v>18</v>
      </c>
      <c r="B21" s="11">
        <v>0.03</v>
      </c>
      <c r="C21" s="11">
        <v>295.35000000000002</v>
      </c>
      <c r="D21" s="11">
        <v>78.37</v>
      </c>
      <c r="E21" s="11">
        <v>50.21</v>
      </c>
      <c r="F21" s="11">
        <v>33.67</v>
      </c>
      <c r="G21" s="11">
        <v>49.12</v>
      </c>
      <c r="H21" s="11">
        <v>57.2</v>
      </c>
      <c r="I21" s="11">
        <v>14.8</v>
      </c>
      <c r="J21" s="11">
        <v>88.89</v>
      </c>
      <c r="K21" s="11">
        <v>1987.39</v>
      </c>
      <c r="L21" s="11">
        <v>3382.66</v>
      </c>
      <c r="M21" s="11">
        <v>274.18</v>
      </c>
      <c r="N21" s="11">
        <f t="shared" si="14"/>
        <v>6311.8700000000008</v>
      </c>
    </row>
    <row r="22" spans="1:15" ht="24" customHeight="1" thickBot="1" x14ac:dyDescent="0.3">
      <c r="A22" s="4" t="s">
        <v>25</v>
      </c>
      <c r="B22" s="11">
        <v>383.03</v>
      </c>
      <c r="C22" s="11">
        <v>606.29999999999995</v>
      </c>
      <c r="D22" s="11">
        <v>440.38</v>
      </c>
      <c r="E22" s="11">
        <v>440.44</v>
      </c>
      <c r="F22" s="11">
        <v>436.43</v>
      </c>
      <c r="G22" s="11">
        <v>446.76</v>
      </c>
      <c r="H22" s="11">
        <v>475.49</v>
      </c>
      <c r="I22" s="11">
        <v>673.73</v>
      </c>
      <c r="J22" s="11">
        <v>511.86</v>
      </c>
      <c r="K22" s="11">
        <v>607.53</v>
      </c>
      <c r="L22" s="11">
        <v>496.65</v>
      </c>
      <c r="M22" s="11">
        <v>563.86</v>
      </c>
      <c r="N22" s="11">
        <f t="shared" si="14"/>
        <v>6082.4599999999991</v>
      </c>
    </row>
    <row r="23" spans="1:15" ht="24" hidden="1" customHeight="1" thickBot="1" x14ac:dyDescent="0.3">
      <c r="A23" s="4" t="s">
        <v>29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4"/>
        <v>0</v>
      </c>
    </row>
    <row r="24" spans="1:15" ht="24" customHeight="1" thickBot="1" x14ac:dyDescent="0.3">
      <c r="A24" s="4" t="s">
        <v>43</v>
      </c>
      <c r="B24" s="11">
        <v>2554.48</v>
      </c>
      <c r="C24" s="11">
        <v>3453.62</v>
      </c>
      <c r="D24" s="11">
        <v>2692.3</v>
      </c>
      <c r="E24" s="11">
        <v>2597.7600000000002</v>
      </c>
      <c r="F24" s="11">
        <v>4338.72</v>
      </c>
      <c r="G24" s="11">
        <v>4317.3</v>
      </c>
      <c r="H24" s="11">
        <v>4417.3</v>
      </c>
      <c r="I24" s="11">
        <v>5582.7</v>
      </c>
      <c r="J24" s="11">
        <v>4206.7</v>
      </c>
      <c r="K24" s="11">
        <v>4733.2</v>
      </c>
      <c r="L24" s="11">
        <v>4633.2</v>
      </c>
      <c r="M24" s="11">
        <v>4889.1000000000004</v>
      </c>
      <c r="N24" s="11">
        <f t="shared" si="14"/>
        <v>48416.37999999999</v>
      </c>
    </row>
    <row r="25" spans="1:15" ht="21" customHeight="1" thickBot="1" x14ac:dyDescent="0.3">
      <c r="A25" s="4" t="s">
        <v>14</v>
      </c>
      <c r="B25" s="14">
        <v>100</v>
      </c>
      <c r="C25" s="14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1">
        <f>SUM(B25:M25)</f>
        <v>1200</v>
      </c>
      <c r="O25" s="3"/>
    </row>
    <row r="26" spans="1:15" ht="21.75" customHeight="1" thickBot="1" x14ac:dyDescent="0.3">
      <c r="A26" s="15" t="s">
        <v>23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  <row r="27" spans="1:15" ht="19.5" customHeight="1" thickBot="1" x14ac:dyDescent="0.3">
      <c r="A27" s="4" t="s">
        <v>1</v>
      </c>
      <c r="B27" s="11">
        <f>1608.3*0.6</f>
        <v>964.9799999999999</v>
      </c>
      <c r="C27" s="11">
        <f t="shared" ref="C27:M27" si="15">1608.3*0.6</f>
        <v>964.9799999999999</v>
      </c>
      <c r="D27" s="11">
        <f t="shared" si="15"/>
        <v>964.9799999999999</v>
      </c>
      <c r="E27" s="11">
        <f t="shared" si="15"/>
        <v>964.9799999999999</v>
      </c>
      <c r="F27" s="11">
        <f t="shared" si="15"/>
        <v>964.9799999999999</v>
      </c>
      <c r="G27" s="11">
        <f t="shared" si="15"/>
        <v>964.9799999999999</v>
      </c>
      <c r="H27" s="11">
        <f t="shared" si="15"/>
        <v>964.9799999999999</v>
      </c>
      <c r="I27" s="11">
        <f t="shared" si="15"/>
        <v>964.9799999999999</v>
      </c>
      <c r="J27" s="11">
        <f t="shared" si="15"/>
        <v>964.9799999999999</v>
      </c>
      <c r="K27" s="11">
        <f t="shared" si="15"/>
        <v>964.9799999999999</v>
      </c>
      <c r="L27" s="11">
        <f t="shared" si="15"/>
        <v>964.9799999999999</v>
      </c>
      <c r="M27" s="11">
        <f t="shared" si="15"/>
        <v>964.9799999999999</v>
      </c>
      <c r="N27" s="11">
        <f t="shared" ref="N27:N40" si="16">SUM(B27:M27)</f>
        <v>11579.759999999997</v>
      </c>
    </row>
    <row r="28" spans="1:15" ht="22.5" customHeight="1" thickBot="1" x14ac:dyDescent="0.3">
      <c r="A28" s="4" t="s">
        <v>2</v>
      </c>
      <c r="B28" s="11">
        <f>1608.3*0.17</f>
        <v>273.411</v>
      </c>
      <c r="C28" s="11">
        <f t="shared" ref="C28:M28" si="17">1608.3*0.17</f>
        <v>273.411</v>
      </c>
      <c r="D28" s="11">
        <f t="shared" si="17"/>
        <v>273.411</v>
      </c>
      <c r="E28" s="11">
        <f t="shared" si="17"/>
        <v>273.411</v>
      </c>
      <c r="F28" s="11">
        <f t="shared" si="17"/>
        <v>273.411</v>
      </c>
      <c r="G28" s="11">
        <f t="shared" si="17"/>
        <v>273.411</v>
      </c>
      <c r="H28" s="11">
        <f t="shared" si="17"/>
        <v>273.411</v>
      </c>
      <c r="I28" s="11">
        <f t="shared" si="17"/>
        <v>273.411</v>
      </c>
      <c r="J28" s="11">
        <f t="shared" si="17"/>
        <v>273.411</v>
      </c>
      <c r="K28" s="11">
        <f t="shared" si="17"/>
        <v>273.411</v>
      </c>
      <c r="L28" s="11">
        <f t="shared" si="17"/>
        <v>273.411</v>
      </c>
      <c r="M28" s="11">
        <f t="shared" si="17"/>
        <v>273.411</v>
      </c>
      <c r="N28" s="11">
        <f t="shared" si="16"/>
        <v>3280.9320000000002</v>
      </c>
    </row>
    <row r="29" spans="1:15" ht="21" customHeight="1" thickBot="1" x14ac:dyDescent="0.3">
      <c r="A29" s="4" t="s">
        <v>3</v>
      </c>
      <c r="B29" s="11">
        <f>37857.83*2.3%</f>
        <v>870.73009000000002</v>
      </c>
      <c r="C29" s="11">
        <f>37608.98*2.3%</f>
        <v>865.00654000000009</v>
      </c>
      <c r="D29" s="11">
        <f>37890*2.3%</f>
        <v>871.47</v>
      </c>
      <c r="E29" s="11">
        <f>39987*2.3%</f>
        <v>919.70100000000002</v>
      </c>
      <c r="F29" s="11">
        <f>37143.66*2.3%</f>
        <v>854.30418000000009</v>
      </c>
      <c r="G29" s="11">
        <f>38565.33*2.3%</f>
        <v>887.00259000000005</v>
      </c>
      <c r="H29" s="11">
        <f>44970.02*2.3%</f>
        <v>1034.3104599999999</v>
      </c>
      <c r="I29" s="11">
        <f>38662.04*2.3%</f>
        <v>889.22691999999995</v>
      </c>
      <c r="J29" s="11">
        <f>40768.46*2.3%</f>
        <v>937.67457999999999</v>
      </c>
      <c r="K29" s="11">
        <f>44061.93*2.3%</f>
        <v>1013.42439</v>
      </c>
      <c r="L29" s="11">
        <f>38697.92*2.3%</f>
        <v>890.05215999999996</v>
      </c>
      <c r="M29" s="11">
        <f>38661.96*2.3%</f>
        <v>889.22507999999993</v>
      </c>
      <c r="N29" s="11">
        <f t="shared" si="16"/>
        <v>10922.127989999999</v>
      </c>
    </row>
    <row r="30" spans="1:15" ht="23.25" customHeight="1" thickBot="1" x14ac:dyDescent="0.3">
      <c r="A30" s="4" t="s">
        <v>4</v>
      </c>
      <c r="B30" s="11">
        <f>54365.36*3%</f>
        <v>1630.9608000000001</v>
      </c>
      <c r="C30" s="11">
        <f>83525.97*3%</f>
        <v>2505.7790999999997</v>
      </c>
      <c r="D30" s="11">
        <f>67444.45*3%</f>
        <v>2023.3334999999997</v>
      </c>
      <c r="E30" s="11">
        <f>58597.53*3%</f>
        <v>1757.9259</v>
      </c>
      <c r="F30" s="11">
        <f>59695.72*3%</f>
        <v>1790.8715999999999</v>
      </c>
      <c r="G30" s="11">
        <f>46250.83*3%</f>
        <v>1387.5248999999999</v>
      </c>
      <c r="H30" s="11">
        <f>55162.98*3%</f>
        <v>1654.8894</v>
      </c>
      <c r="I30" s="11">
        <f>77719.58*3%</f>
        <v>2331.5873999999999</v>
      </c>
      <c r="J30" s="11">
        <f>43113.32*3%</f>
        <v>1293.3996</v>
      </c>
      <c r="K30" s="11">
        <f>48882.51*3%</f>
        <v>1466.4753000000001</v>
      </c>
      <c r="L30" s="11">
        <f>43363.49*3%</f>
        <v>1300.9046999999998</v>
      </c>
      <c r="M30" s="11">
        <f>43452.37*3%</f>
        <v>1303.5711000000001</v>
      </c>
      <c r="N30" s="11">
        <f t="shared" si="16"/>
        <v>20447.223300000001</v>
      </c>
    </row>
    <row r="31" spans="1:15" ht="23.25" customHeight="1" thickBot="1" x14ac:dyDescent="0.3">
      <c r="A31" s="4" t="s">
        <v>9</v>
      </c>
      <c r="B31" s="11">
        <f>1608.3*9.7</f>
        <v>15600.509999999998</v>
      </c>
      <c r="C31" s="11">
        <f t="shared" ref="C31:M31" si="18">1608.3*9.7</f>
        <v>15600.509999999998</v>
      </c>
      <c r="D31" s="11">
        <f t="shared" si="18"/>
        <v>15600.509999999998</v>
      </c>
      <c r="E31" s="11">
        <f t="shared" si="18"/>
        <v>15600.509999999998</v>
      </c>
      <c r="F31" s="11">
        <f t="shared" si="18"/>
        <v>15600.509999999998</v>
      </c>
      <c r="G31" s="11">
        <f t="shared" si="18"/>
        <v>15600.509999999998</v>
      </c>
      <c r="H31" s="11">
        <f t="shared" si="18"/>
        <v>15600.509999999998</v>
      </c>
      <c r="I31" s="11">
        <f t="shared" si="18"/>
        <v>15600.509999999998</v>
      </c>
      <c r="J31" s="11">
        <f t="shared" si="18"/>
        <v>15600.509999999998</v>
      </c>
      <c r="K31" s="11">
        <f t="shared" si="18"/>
        <v>15600.509999999998</v>
      </c>
      <c r="L31" s="11">
        <f t="shared" si="18"/>
        <v>15600.509999999998</v>
      </c>
      <c r="M31" s="11">
        <f t="shared" si="18"/>
        <v>15600.509999999998</v>
      </c>
      <c r="N31" s="11">
        <f>SUM(B31:M31)</f>
        <v>187206.12</v>
      </c>
    </row>
    <row r="32" spans="1:15" ht="26.25" customHeight="1" thickBot="1" x14ac:dyDescent="0.3">
      <c r="A32" s="4" t="s">
        <v>19</v>
      </c>
      <c r="B32" s="11">
        <f>1271.87+149.73</f>
        <v>1421.6</v>
      </c>
      <c r="C32" s="11">
        <f>1271.87+149.73</f>
        <v>1421.6</v>
      </c>
      <c r="D32" s="11">
        <f>1271.87+149.73</f>
        <v>1421.6</v>
      </c>
      <c r="E32" s="11">
        <v>0</v>
      </c>
      <c r="F32" s="11">
        <v>0</v>
      </c>
      <c r="G32" s="11">
        <f>4371.72+514.63</f>
        <v>4886.3500000000004</v>
      </c>
      <c r="H32" s="11">
        <v>0</v>
      </c>
      <c r="I32" s="11">
        <v>0</v>
      </c>
      <c r="J32" s="11">
        <f>1462.65+159.23</f>
        <v>1621.88</v>
      </c>
      <c r="K32" s="11">
        <f>418.7+45.57</f>
        <v>464.27</v>
      </c>
      <c r="L32" s="11">
        <v>0</v>
      </c>
      <c r="M32" s="11">
        <v>0</v>
      </c>
      <c r="N32" s="11">
        <f t="shared" si="16"/>
        <v>11237.3</v>
      </c>
    </row>
    <row r="33" spans="1:14" ht="26.25" customHeight="1" thickBot="1" x14ac:dyDescent="0.3">
      <c r="A33" s="4" t="s">
        <v>20</v>
      </c>
      <c r="B33" s="11">
        <v>358.49</v>
      </c>
      <c r="C33" s="11">
        <v>358.49</v>
      </c>
      <c r="D33" s="11">
        <v>358.49</v>
      </c>
      <c r="E33" s="11">
        <v>358.49</v>
      </c>
      <c r="F33" s="11">
        <v>358.49</v>
      </c>
      <c r="G33" s="11">
        <v>358.49</v>
      </c>
      <c r="H33" s="11">
        <v>395.99</v>
      </c>
      <c r="I33" s="11">
        <v>395.99</v>
      </c>
      <c r="J33" s="11">
        <v>395.99</v>
      </c>
      <c r="K33" s="11">
        <v>395.99</v>
      </c>
      <c r="L33" s="11">
        <v>395.99</v>
      </c>
      <c r="M33" s="11">
        <v>395.99</v>
      </c>
      <c r="N33" s="11">
        <f t="shared" si="16"/>
        <v>4526.8799999999992</v>
      </c>
    </row>
    <row r="34" spans="1:14" ht="26.25" customHeight="1" thickBot="1" x14ac:dyDescent="0.3">
      <c r="A34" s="4" t="s">
        <v>21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2106.4499999999998</v>
      </c>
      <c r="J34" s="11">
        <v>3778.02</v>
      </c>
      <c r="K34" s="11">
        <v>0</v>
      </c>
      <c r="L34" s="11">
        <v>0</v>
      </c>
      <c r="M34" s="11">
        <v>883.35</v>
      </c>
      <c r="N34" s="11">
        <f t="shared" si="16"/>
        <v>6767.82</v>
      </c>
    </row>
    <row r="35" spans="1:14" ht="24" customHeight="1" thickBot="1" x14ac:dyDescent="0.3">
      <c r="A35" s="4" t="s">
        <v>25</v>
      </c>
      <c r="B35" s="11">
        <v>461.15</v>
      </c>
      <c r="C35" s="11">
        <v>461.15</v>
      </c>
      <c r="D35" s="11">
        <v>461.15</v>
      </c>
      <c r="E35" s="11">
        <v>461.15</v>
      </c>
      <c r="F35" s="11">
        <v>461.15</v>
      </c>
      <c r="G35" s="11">
        <v>461.15</v>
      </c>
      <c r="H35" s="11">
        <f>266.35+266.35</f>
        <v>532.70000000000005</v>
      </c>
      <c r="I35" s="11">
        <f>266.35+266.35</f>
        <v>532.70000000000005</v>
      </c>
      <c r="J35" s="11">
        <f>266.35+266.35</f>
        <v>532.70000000000005</v>
      </c>
      <c r="K35" s="11">
        <f>266.35+266.35</f>
        <v>532.70000000000005</v>
      </c>
      <c r="L35" s="11">
        <f t="shared" ref="L35:M35" si="19">266.35+266.35</f>
        <v>532.70000000000005</v>
      </c>
      <c r="M35" s="11">
        <f t="shared" si="19"/>
        <v>532.70000000000005</v>
      </c>
      <c r="N35" s="11">
        <f t="shared" si="16"/>
        <v>5963.0999999999995</v>
      </c>
    </row>
    <row r="36" spans="1:14" ht="22.5" customHeight="1" thickBot="1" x14ac:dyDescent="0.3">
      <c r="A36" s="4" t="s">
        <v>6</v>
      </c>
      <c r="B36" s="11">
        <f>1608.3*3.04</f>
        <v>4889.232</v>
      </c>
      <c r="C36" s="11">
        <f t="shared" ref="C36:M36" si="20">1608.3*3.04</f>
        <v>4889.232</v>
      </c>
      <c r="D36" s="11">
        <f t="shared" si="20"/>
        <v>4889.232</v>
      </c>
      <c r="E36" s="11">
        <f t="shared" si="20"/>
        <v>4889.232</v>
      </c>
      <c r="F36" s="11">
        <f t="shared" si="20"/>
        <v>4889.232</v>
      </c>
      <c r="G36" s="11">
        <f t="shared" si="20"/>
        <v>4889.232</v>
      </c>
      <c r="H36" s="11">
        <f t="shared" si="20"/>
        <v>4889.232</v>
      </c>
      <c r="I36" s="11">
        <f t="shared" si="20"/>
        <v>4889.232</v>
      </c>
      <c r="J36" s="11">
        <f t="shared" si="20"/>
        <v>4889.232</v>
      </c>
      <c r="K36" s="11">
        <f t="shared" si="20"/>
        <v>4889.232</v>
      </c>
      <c r="L36" s="11">
        <f t="shared" si="20"/>
        <v>4889.232</v>
      </c>
      <c r="M36" s="11">
        <f t="shared" si="20"/>
        <v>4889.232</v>
      </c>
      <c r="N36" s="11">
        <f t="shared" si="16"/>
        <v>58670.784000000014</v>
      </c>
    </row>
    <row r="37" spans="1:14" ht="23.4" customHeight="1" thickBot="1" x14ac:dyDescent="0.3">
      <c r="A37" s="4" t="s">
        <v>43</v>
      </c>
      <c r="B37" s="11">
        <v>0</v>
      </c>
      <c r="C37" s="11">
        <v>1604.19</v>
      </c>
      <c r="D37" s="11">
        <v>1968.53</v>
      </c>
      <c r="E37" s="11">
        <v>1534.61</v>
      </c>
      <c r="F37" s="11">
        <v>1480.43</v>
      </c>
      <c r="G37" s="11">
        <v>2473.1</v>
      </c>
      <c r="H37" s="11">
        <v>2461.11</v>
      </c>
      <c r="I37" s="11">
        <v>2518.11</v>
      </c>
      <c r="J37" s="11">
        <v>3181.89</v>
      </c>
      <c r="K37" s="11">
        <v>2397.69</v>
      </c>
      <c r="L37" s="11">
        <v>2698.24</v>
      </c>
      <c r="M37" s="11">
        <v>2641.24</v>
      </c>
      <c r="N37" s="11">
        <f t="shared" si="16"/>
        <v>24959.14</v>
      </c>
    </row>
    <row r="38" spans="1:14" ht="23.4" customHeight="1" thickBot="1" x14ac:dyDescent="0.3">
      <c r="A38" s="4" t="s">
        <v>44</v>
      </c>
      <c r="B38" s="11">
        <v>0</v>
      </c>
      <c r="C38" s="11">
        <f>844.37+366</f>
        <v>1210.3699999999999</v>
      </c>
      <c r="D38" s="11">
        <f>1036.09+449</f>
        <v>1485.09</v>
      </c>
      <c r="E38" s="11">
        <f>350+807.69</f>
        <v>1157.69</v>
      </c>
      <c r="F38" s="11">
        <f>338+779.33</f>
        <v>1117.33</v>
      </c>
      <c r="G38" s="11">
        <f>564+1301.62</f>
        <v>1865.62</v>
      </c>
      <c r="H38" s="11">
        <f>561+1295.19</f>
        <v>1856.19</v>
      </c>
      <c r="I38" s="11">
        <f>574+1325.19</f>
        <v>1899.19</v>
      </c>
      <c r="J38" s="11">
        <f>726+1674.81</f>
        <v>2400.81</v>
      </c>
      <c r="K38" s="11">
        <f>547+1262.01</f>
        <v>1809.01</v>
      </c>
      <c r="L38" s="11">
        <f>615+1419.96</f>
        <v>2034.96</v>
      </c>
      <c r="M38" s="11">
        <f>602+1389.96</f>
        <v>1991.96</v>
      </c>
      <c r="N38" s="11">
        <f t="shared" si="16"/>
        <v>18828.219999999998</v>
      </c>
    </row>
    <row r="39" spans="1:14" ht="23.4" customHeight="1" thickBot="1" x14ac:dyDescent="0.3">
      <c r="A39" s="4" t="s">
        <v>28</v>
      </c>
      <c r="B39" s="11">
        <v>0</v>
      </c>
      <c r="C39" s="11">
        <v>0</v>
      </c>
      <c r="D39" s="11">
        <v>0</v>
      </c>
      <c r="E39" s="11">
        <v>900</v>
      </c>
      <c r="F39" s="11">
        <v>900</v>
      </c>
      <c r="G39" s="11">
        <v>900</v>
      </c>
      <c r="H39" s="11">
        <v>900</v>
      </c>
      <c r="I39" s="11">
        <v>900</v>
      </c>
      <c r="J39" s="11">
        <v>900</v>
      </c>
      <c r="K39" s="11">
        <v>900</v>
      </c>
      <c r="L39" s="11">
        <v>900</v>
      </c>
      <c r="M39" s="11">
        <v>900</v>
      </c>
      <c r="N39" s="11">
        <f t="shared" si="16"/>
        <v>8100</v>
      </c>
    </row>
    <row r="40" spans="1:14" ht="24" customHeight="1" thickBot="1" x14ac:dyDescent="0.3">
      <c r="A40" s="4" t="s">
        <v>10</v>
      </c>
      <c r="B40" s="11">
        <f>422.1</f>
        <v>422.1</v>
      </c>
      <c r="C40" s="11">
        <f>3619+933.1</f>
        <v>4552.1000000000004</v>
      </c>
      <c r="D40" s="11">
        <f>1141.3+101791.2+351430</f>
        <v>454362.5</v>
      </c>
      <c r="E40" s="11">
        <f>3524.6+77887.2</f>
        <v>81411.8</v>
      </c>
      <c r="F40" s="11">
        <f>210+7198.5+2992.6</f>
        <v>10401.1</v>
      </c>
      <c r="G40" s="11">
        <v>0</v>
      </c>
      <c r="H40" s="11">
        <f>210+83490.35</f>
        <v>83700.350000000006</v>
      </c>
      <c r="I40" s="11">
        <f>4800+1600+105</f>
        <v>6505</v>
      </c>
      <c r="J40" s="11">
        <f>500+105+7568.4</f>
        <v>8173.4</v>
      </c>
      <c r="K40" s="11">
        <f>105</f>
        <v>105</v>
      </c>
      <c r="L40" s="11">
        <f>2349.3</f>
        <v>2349.3000000000002</v>
      </c>
      <c r="M40" s="11">
        <f>1000+500+500+500+1000+500+500+105+2669.1</f>
        <v>7274.1</v>
      </c>
      <c r="N40" s="11">
        <f t="shared" si="16"/>
        <v>659256.75</v>
      </c>
    </row>
    <row r="41" spans="1:14" ht="22.5" customHeight="1" thickBot="1" x14ac:dyDescent="0.3">
      <c r="A41" s="9" t="s">
        <v>22</v>
      </c>
      <c r="B41" s="10">
        <f t="shared" ref="B41:M41" si="21">SUM(B27:B40)</f>
        <v>26893.163889999996</v>
      </c>
      <c r="C41" s="10">
        <f t="shared" si="21"/>
        <v>34706.818639999998</v>
      </c>
      <c r="D41" s="10">
        <f t="shared" si="21"/>
        <v>484680.2965</v>
      </c>
      <c r="E41" s="10">
        <f t="shared" si="21"/>
        <v>110229.4999</v>
      </c>
      <c r="F41" s="10">
        <f t="shared" si="21"/>
        <v>39091.808779999999</v>
      </c>
      <c r="G41" s="10">
        <f t="shared" si="21"/>
        <v>34947.370490000001</v>
      </c>
      <c r="H41" s="10">
        <f t="shared" si="21"/>
        <v>114263.67286000001</v>
      </c>
      <c r="I41" s="10">
        <f t="shared" si="21"/>
        <v>39806.387319999994</v>
      </c>
      <c r="J41" s="10">
        <f t="shared" si="21"/>
        <v>44943.89718</v>
      </c>
      <c r="K41" s="10">
        <f t="shared" si="21"/>
        <v>30812.692689999996</v>
      </c>
      <c r="L41" s="10">
        <f t="shared" si="21"/>
        <v>32830.279860000002</v>
      </c>
      <c r="M41" s="10">
        <f t="shared" si="21"/>
        <v>38540.269179999996</v>
      </c>
      <c r="N41" s="10">
        <f>SUM(B41:M41)</f>
        <v>1031746.15729</v>
      </c>
    </row>
    <row r="42" spans="1:14" ht="23.25" customHeight="1" thickBot="1" x14ac:dyDescent="0.3">
      <c r="A42" s="4" t="s">
        <v>5</v>
      </c>
      <c r="B42" s="18">
        <f t="shared" ref="B42:N42" si="22">B17-B41</f>
        <v>27572.196110000004</v>
      </c>
      <c r="C42" s="18">
        <f t="shared" si="22"/>
        <v>48919.151360000018</v>
      </c>
      <c r="D42" s="18">
        <f t="shared" si="22"/>
        <v>-417135.84649999999</v>
      </c>
      <c r="E42" s="18">
        <f t="shared" si="22"/>
        <v>-51531.969899999996</v>
      </c>
      <c r="F42" s="18">
        <f t="shared" si="22"/>
        <v>20703.911220000002</v>
      </c>
      <c r="G42" s="18">
        <f t="shared" si="22"/>
        <v>11403.459510000008</v>
      </c>
      <c r="H42" s="18">
        <f t="shared" si="22"/>
        <v>-59000.69286000001</v>
      </c>
      <c r="I42" s="18">
        <f t="shared" si="22"/>
        <v>38013.192679999993</v>
      </c>
      <c r="J42" s="18">
        <f t="shared" si="22"/>
        <v>-1730.5771800000002</v>
      </c>
      <c r="K42" s="18">
        <f t="shared" si="22"/>
        <v>18169.817309999999</v>
      </c>
      <c r="L42" s="18">
        <f t="shared" si="22"/>
        <v>10633.210139999996</v>
      </c>
      <c r="M42" s="18">
        <f t="shared" si="22"/>
        <v>5012.1008199999997</v>
      </c>
      <c r="N42" s="11">
        <f t="shared" si="22"/>
        <v>-348972.04729000002</v>
      </c>
    </row>
    <row r="43" spans="1:14" ht="23.25" customHeight="1" thickBot="1" x14ac:dyDescent="0.3">
      <c r="A43" s="4" t="s">
        <v>7</v>
      </c>
      <c r="B43" s="14">
        <f>B6+B42</f>
        <v>-210067.22389000002</v>
      </c>
      <c r="C43" s="19">
        <f>B43+C42</f>
        <v>-161148.07253</v>
      </c>
      <c r="D43" s="19">
        <f>C43+D42</f>
        <v>-578283.91902999999</v>
      </c>
      <c r="E43" s="19">
        <f t="shared" ref="E43:M43" si="23">D43+E42</f>
        <v>-629815.88893000002</v>
      </c>
      <c r="F43" s="19">
        <f t="shared" si="23"/>
        <v>-609111.97771000001</v>
      </c>
      <c r="G43" s="19">
        <f t="shared" si="23"/>
        <v>-597708.51820000005</v>
      </c>
      <c r="H43" s="19">
        <f t="shared" si="23"/>
        <v>-656709.21106000012</v>
      </c>
      <c r="I43" s="19">
        <f t="shared" si="23"/>
        <v>-618696.01838000014</v>
      </c>
      <c r="J43" s="19">
        <f t="shared" si="23"/>
        <v>-620426.59556000016</v>
      </c>
      <c r="K43" s="19">
        <f t="shared" si="23"/>
        <v>-602256.77825000021</v>
      </c>
      <c r="L43" s="19">
        <f t="shared" si="23"/>
        <v>-591623.56811000023</v>
      </c>
      <c r="M43" s="19">
        <f t="shared" si="23"/>
        <v>-586611.46729000018</v>
      </c>
      <c r="N43" s="14">
        <f>N6+N42</f>
        <v>-586611.46729000006</v>
      </c>
    </row>
    <row r="44" spans="1:14" ht="23.25" customHeight="1" thickBot="1" x14ac:dyDescent="0.3">
      <c r="A44" s="4" t="s">
        <v>45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4874.93</v>
      </c>
      <c r="J44" s="11">
        <v>0</v>
      </c>
      <c r="K44" s="11">
        <v>0</v>
      </c>
      <c r="L44" s="11">
        <v>0</v>
      </c>
      <c r="M44" s="11">
        <v>0</v>
      </c>
      <c r="N44" s="18">
        <f>SUM(B44:M44)</f>
        <v>4874.93</v>
      </c>
    </row>
    <row r="45" spans="1:14" ht="27" customHeight="1" thickBot="1" x14ac:dyDescent="0.3">
      <c r="A45" s="15" t="s">
        <v>11</v>
      </c>
      <c r="B45" s="20">
        <f>B7+B17-B8</f>
        <v>-364134.13</v>
      </c>
      <c r="C45" s="20">
        <f t="shared" ref="C45:H45" si="24">C7+C17-C8</f>
        <v>-318217.13999999996</v>
      </c>
      <c r="D45" s="20">
        <f t="shared" si="24"/>
        <v>-288662.68999999994</v>
      </c>
      <c r="E45" s="20">
        <f t="shared" si="24"/>
        <v>-270052.15999999992</v>
      </c>
      <c r="F45" s="20">
        <f t="shared" si="24"/>
        <v>-247500.09999999992</v>
      </c>
      <c r="G45" s="20">
        <f t="shared" si="24"/>
        <v>-239814.59999999992</v>
      </c>
      <c r="H45" s="20">
        <f t="shared" si="24"/>
        <v>-229621.63999999996</v>
      </c>
      <c r="I45" s="20">
        <f>I7+I17-I8+I44</f>
        <v>-185689.16999999998</v>
      </c>
      <c r="J45" s="20">
        <f t="shared" ref="J45:M45" si="25">J7+J17-J8+J44</f>
        <v>-183344.30999999997</v>
      </c>
      <c r="K45" s="20">
        <f t="shared" si="25"/>
        <v>-178523.72999999998</v>
      </c>
      <c r="L45" s="20">
        <f t="shared" si="25"/>
        <v>-173858.15999999997</v>
      </c>
      <c r="M45" s="20">
        <f t="shared" si="25"/>
        <v>-169067.74999999997</v>
      </c>
      <c r="N45" s="21">
        <f>N7+N17-N8+N44</f>
        <v>-169067.75</v>
      </c>
    </row>
  </sheetData>
  <mergeCells count="2">
    <mergeCell ref="A1:N1"/>
    <mergeCell ref="A2:P2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2025-03-05T08:42:24Z</cp:lastPrinted>
  <dcterms:created xsi:type="dcterms:W3CDTF">2011-06-06T03:25:48Z</dcterms:created>
  <dcterms:modified xsi:type="dcterms:W3CDTF">2025-03-05T08:49:13Z</dcterms:modified>
</cp:coreProperties>
</file>