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96" windowWidth="16152" windowHeight="10992"/>
  </bookViews>
  <sheets>
    <sheet name="2024" sheetId="1" r:id="rId1"/>
  </sheets>
  <calcPr calcId="144525" refMode="R1C1"/>
</workbook>
</file>

<file path=xl/calcChain.xml><?xml version="1.0" encoding="utf-8"?>
<calcChain xmlns="http://schemas.openxmlformats.org/spreadsheetml/2006/main">
  <c r="M44" i="1" l="1"/>
  <c r="N44" i="1"/>
  <c r="L44" i="1"/>
  <c r="M39" i="1" l="1"/>
  <c r="N22" i="1" l="1"/>
  <c r="M35" i="1" l="1"/>
  <c r="L35" i="1"/>
  <c r="K35" i="1"/>
  <c r="L39" i="1" l="1"/>
  <c r="K39" i="1" l="1"/>
  <c r="M37" i="1" l="1"/>
  <c r="L37" i="1"/>
  <c r="K37" i="1"/>
  <c r="M27" i="1" l="1"/>
  <c r="M26" i="1"/>
  <c r="L27" i="1" l="1"/>
  <c r="L26" i="1"/>
  <c r="N43" i="1" l="1"/>
  <c r="K27" i="1" l="1"/>
  <c r="K26" i="1"/>
  <c r="K33" i="1" l="1"/>
  <c r="L33" i="1"/>
  <c r="M33" i="1"/>
  <c r="K28" i="1"/>
  <c r="L28" i="1"/>
  <c r="M28" i="1"/>
  <c r="K25" i="1"/>
  <c r="L25" i="1"/>
  <c r="M25" i="1"/>
  <c r="K24" i="1"/>
  <c r="L24" i="1"/>
  <c r="M24" i="1"/>
  <c r="J39" i="1" l="1"/>
  <c r="J35" i="1" l="1"/>
  <c r="I35" i="1" l="1"/>
  <c r="H35" i="1" l="1"/>
  <c r="J37" i="1" l="1"/>
  <c r="I37" i="1"/>
  <c r="H37" i="1"/>
  <c r="J27" i="1" l="1"/>
  <c r="J26" i="1"/>
  <c r="I27" i="1" l="1"/>
  <c r="I26" i="1"/>
  <c r="I8" i="1"/>
  <c r="H39" i="1" l="1"/>
  <c r="H27" i="1" l="1"/>
  <c r="H26" i="1"/>
  <c r="H33" i="1"/>
  <c r="I33" i="1"/>
  <c r="J33" i="1"/>
  <c r="H28" i="1" l="1"/>
  <c r="I28" i="1"/>
  <c r="J28" i="1"/>
  <c r="H25" i="1"/>
  <c r="I25" i="1"/>
  <c r="J25" i="1"/>
  <c r="H24" i="1"/>
  <c r="I24" i="1"/>
  <c r="J24" i="1"/>
  <c r="G29" i="1" l="1"/>
  <c r="G37" i="1" l="1"/>
  <c r="F37" i="1"/>
  <c r="E37" i="1"/>
  <c r="G35" i="1" l="1"/>
  <c r="F35" i="1" l="1"/>
  <c r="E35" i="1"/>
  <c r="F39" i="1" l="1"/>
  <c r="G27" i="1" l="1"/>
  <c r="G26" i="1"/>
  <c r="F27" i="1" l="1"/>
  <c r="F26" i="1"/>
  <c r="E27" i="1" l="1"/>
  <c r="E26" i="1"/>
  <c r="E39" i="1" l="1"/>
  <c r="E33" i="1" l="1"/>
  <c r="F33" i="1"/>
  <c r="G33" i="1"/>
  <c r="E28" i="1"/>
  <c r="F28" i="1"/>
  <c r="G28" i="1"/>
  <c r="E25" i="1"/>
  <c r="F25" i="1"/>
  <c r="G25" i="1"/>
  <c r="E24" i="1"/>
  <c r="F24" i="1"/>
  <c r="G24" i="1"/>
  <c r="D37" i="1" l="1"/>
  <c r="C37" i="1"/>
  <c r="D39" i="1" l="1"/>
  <c r="C39" i="1" l="1"/>
  <c r="D35" i="1" l="1"/>
  <c r="C35" i="1" l="1"/>
  <c r="C29" i="1" l="1"/>
  <c r="B29" i="1"/>
  <c r="N37" i="1" l="1"/>
  <c r="D27" i="1" l="1"/>
  <c r="D26" i="1"/>
  <c r="B39" i="1" l="1"/>
  <c r="C27" i="1" l="1"/>
  <c r="C26" i="1"/>
  <c r="B27" i="1" l="1"/>
  <c r="B26" i="1"/>
  <c r="C33" i="1"/>
  <c r="D33" i="1"/>
  <c r="C28" i="1"/>
  <c r="D28" i="1"/>
  <c r="C25" i="1"/>
  <c r="D25" i="1"/>
  <c r="C24" i="1"/>
  <c r="D24" i="1"/>
  <c r="B33" i="1" l="1"/>
  <c r="B28" i="1"/>
  <c r="B25" i="1"/>
  <c r="B24" i="1"/>
  <c r="B35" i="1" l="1"/>
  <c r="N36" i="1" l="1"/>
  <c r="N38" i="1" l="1"/>
  <c r="N39" i="1" l="1"/>
  <c r="N34" i="1" l="1"/>
  <c r="N33" i="1" l="1"/>
  <c r="N35" i="1"/>
  <c r="N14" i="1" l="1"/>
  <c r="N31" i="1" l="1"/>
  <c r="N6" i="1"/>
  <c r="N5" i="1"/>
  <c r="M15" i="1" l="1"/>
  <c r="K7" i="1"/>
  <c r="N24" i="1"/>
  <c r="N25" i="1"/>
  <c r="N28" i="1"/>
  <c r="N29" i="1"/>
  <c r="N30" i="1"/>
  <c r="N32" i="1"/>
  <c r="N17" i="1"/>
  <c r="N18" i="1"/>
  <c r="N19" i="1"/>
  <c r="N20" i="1"/>
  <c r="N21" i="1"/>
  <c r="K15" i="1"/>
  <c r="L15" i="1"/>
  <c r="N9" i="1"/>
  <c r="N10" i="1"/>
  <c r="N11" i="1"/>
  <c r="N12" i="1"/>
  <c r="N13" i="1"/>
  <c r="L7" i="1"/>
  <c r="M7" i="1"/>
  <c r="M40" i="1" l="1"/>
  <c r="M41" i="1" s="1"/>
  <c r="L40" i="1"/>
  <c r="L41" i="1" s="1"/>
  <c r="K40" i="1" l="1"/>
  <c r="K41" i="1" l="1"/>
  <c r="J7" i="1" l="1"/>
  <c r="I7" i="1"/>
  <c r="I15" i="1"/>
  <c r="H7" i="1" l="1"/>
  <c r="J15" i="1"/>
  <c r="I40" i="1"/>
  <c r="I41" i="1" s="1"/>
  <c r="H15" i="1"/>
  <c r="J40" i="1" l="1"/>
  <c r="H40" i="1"/>
  <c r="G7" i="1"/>
  <c r="E15" i="1"/>
  <c r="N8" i="1"/>
  <c r="E7" i="1"/>
  <c r="G15" i="1"/>
  <c r="F7" i="1"/>
  <c r="D15" i="1"/>
  <c r="D40" i="1" s="1"/>
  <c r="D41" i="1" s="1"/>
  <c r="D7" i="1"/>
  <c r="C15" i="1"/>
  <c r="C7" i="1"/>
  <c r="B15" i="1"/>
  <c r="B7" i="1"/>
  <c r="J41" i="1" l="1"/>
  <c r="G40" i="1"/>
  <c r="G41" i="1" s="1"/>
  <c r="C40" i="1"/>
  <c r="C41" i="1" s="1"/>
  <c r="N7" i="1"/>
  <c r="H41" i="1"/>
  <c r="F15" i="1"/>
  <c r="N16" i="1"/>
  <c r="N27" i="1"/>
  <c r="B44" i="1"/>
  <c r="C6" i="1" s="1"/>
  <c r="C44" i="1" s="1"/>
  <c r="D6" i="1" s="1"/>
  <c r="B40" i="1"/>
  <c r="D44" i="1" l="1"/>
  <c r="E6" i="1" s="1"/>
  <c r="E44" i="1" s="1"/>
  <c r="F6" i="1" s="1"/>
  <c r="F40" i="1"/>
  <c r="F41" i="1" s="1"/>
  <c r="N15" i="1"/>
  <c r="N26" i="1"/>
  <c r="E40" i="1"/>
  <c r="B41" i="1"/>
  <c r="B42" i="1" s="1"/>
  <c r="N40" i="1" l="1"/>
  <c r="N41" i="1" s="1"/>
  <c r="N42" i="1" s="1"/>
  <c r="E41" i="1"/>
  <c r="C5" i="1"/>
  <c r="C42" i="1" s="1"/>
  <c r="D5" i="1" s="1"/>
  <c r="D42" i="1" l="1"/>
  <c r="E5" i="1" s="1"/>
  <c r="F44" i="1"/>
  <c r="G6" i="1" s="1"/>
  <c r="G44" i="1" s="1"/>
  <c r="H6" i="1" s="1"/>
  <c r="H44" i="1" l="1"/>
  <c r="I6" i="1" s="1"/>
  <c r="I44" i="1" s="1"/>
  <c r="J6" i="1" s="1"/>
  <c r="J44" i="1" s="1"/>
  <c r="E42" i="1"/>
  <c r="F5" i="1" s="1"/>
  <c r="F42" i="1" s="1"/>
  <c r="G5" i="1" s="1"/>
  <c r="G42" i="1" s="1"/>
  <c r="K6" i="1" l="1"/>
  <c r="K44" i="1" s="1"/>
  <c r="H5" i="1"/>
  <c r="H42" i="1" s="1"/>
  <c r="L6" i="1" l="1"/>
  <c r="I5" i="1"/>
  <c r="I42" i="1" s="1"/>
  <c r="M6" i="1" l="1"/>
  <c r="J5" i="1"/>
  <c r="J42" i="1" s="1"/>
  <c r="K5" i="1" l="1"/>
  <c r="K42" i="1" s="1"/>
  <c r="L5" i="1" l="1"/>
  <c r="L42" i="1" s="1"/>
  <c r="M5" i="1" l="1"/>
  <c r="M42" i="1" s="1"/>
</calcChain>
</file>

<file path=xl/sharedStrings.xml><?xml version="1.0" encoding="utf-8"?>
<sst xmlns="http://schemas.openxmlformats.org/spreadsheetml/2006/main" count="55" uniqueCount="46">
  <si>
    <t>Наименование статей</t>
  </si>
  <si>
    <t>Аварийная служба</t>
  </si>
  <si>
    <t>ЕИРКЦ паспортная служба</t>
  </si>
  <si>
    <t>ЕИРКЦ услуги за начисление</t>
  </si>
  <si>
    <t>Система «Город» по приему платежей</t>
  </si>
  <si>
    <t>Экономия/перерасход (+,-)</t>
  </si>
  <si>
    <t>Услуги управляющей компании</t>
  </si>
  <si>
    <t>Накопительный счет</t>
  </si>
  <si>
    <t>Поступления за месяц, всего:</t>
  </si>
  <si>
    <t>Содержание и техобслуживание МКД</t>
  </si>
  <si>
    <t>Подрядные работы, текущий ремонт</t>
  </si>
  <si>
    <t>Задолженность по оплате (сальдо исходящее)</t>
  </si>
  <si>
    <t>Начисления за месяц, всего:</t>
  </si>
  <si>
    <t xml:space="preserve">Входящее сальдо по оплате на начало периода </t>
  </si>
  <si>
    <t>Дополнительный доход (использование общего имущества)</t>
  </si>
  <si>
    <t>Средства на счете дома на начало периода</t>
  </si>
  <si>
    <t>ГВС на содержание ОИ</t>
  </si>
  <si>
    <t>ХВС на содержание ОИ</t>
  </si>
  <si>
    <t>Эл.энергия на содержание ОИ</t>
  </si>
  <si>
    <t>Расходы ГВС на содержание ОИ</t>
  </si>
  <si>
    <t>Расходы ХВС на содержание ОИ</t>
  </si>
  <si>
    <t>Расходы эл.энергия на содержание ОИ</t>
  </si>
  <si>
    <t>Итого расходы</t>
  </si>
  <si>
    <t>РАСХОДЫ</t>
  </si>
  <si>
    <t>Тех.обслуживание приборов учета</t>
  </si>
  <si>
    <t>Комплексное обслуживание лифтов</t>
  </si>
  <si>
    <t>Отведение стоков на ОИ</t>
  </si>
  <si>
    <t>Содержание жилья и текущий ремонт,  ОПУ</t>
  </si>
  <si>
    <t xml:space="preserve">Периодическое техническое освидетельствование  лифтов </t>
  </si>
  <si>
    <t>Январь 2024г.</t>
  </si>
  <si>
    <t>Февраль 2024г.</t>
  </si>
  <si>
    <t>Март 2024г.</t>
  </si>
  <si>
    <t>Апрель 2024г.</t>
  </si>
  <si>
    <t>Май 2024г.</t>
  </si>
  <si>
    <t>Июнь 2024г.</t>
  </si>
  <si>
    <t>Июль 2024г.</t>
  </si>
  <si>
    <t>Август 2024г.</t>
  </si>
  <si>
    <t>Сентябрь 2024г.</t>
  </si>
  <si>
    <t>Октябрь 2024г</t>
  </si>
  <si>
    <t>Ноябрь 2024г</t>
  </si>
  <si>
    <t>Декабрь 2024г</t>
  </si>
  <si>
    <t>Всего:                       за  2024г.</t>
  </si>
  <si>
    <t>Вознаграждение совета МКД</t>
  </si>
  <si>
    <t>Налоги с вознаграждения совета МКД</t>
  </si>
  <si>
    <t xml:space="preserve">                 ОТЧЕТ по дому Пугачева, 2/1 за период 01.01.2024г. по 31.12.2024г.</t>
  </si>
  <si>
    <t>Корректировка задолженности по решению суда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</si>
</sst>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_₽"/>
  </numFmts>
  <fonts count="8" x14ac:knownFonts="1">
    <font>
      <sz val="10"/>
      <name val="Arial Cyr"/>
      <charset val="204"/>
    </font>
    <font>
      <b/>
      <sz val="8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Arial Cyr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sz val="16"/>
      <name val="Arial Cyr"/>
      <charset val="204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4" fillId="0" borderId="0" xfId="0" applyFont="1"/>
    <xf numFmtId="0" fontId="0" fillId="0" borderId="0" xfId="0" applyBorder="1"/>
    <xf numFmtId="0" fontId="5" fillId="0" borderId="3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0" fontId="7" fillId="0" borderId="2" xfId="0" applyFont="1" applyBorder="1" applyAlignment="1">
      <alignment vertical="top" wrapText="1"/>
    </xf>
    <xf numFmtId="0" fontId="7" fillId="2" borderId="3" xfId="0" applyFont="1" applyFill="1" applyBorder="1" applyAlignment="1">
      <alignment vertical="top" wrapText="1"/>
    </xf>
    <xf numFmtId="164" fontId="7" fillId="2" borderId="4" xfId="0" applyNumberFormat="1" applyFont="1" applyFill="1" applyBorder="1" applyAlignment="1">
      <alignment horizontal="left" vertical="top" wrapText="1"/>
    </xf>
    <xf numFmtId="0" fontId="7" fillId="3" borderId="3" xfId="0" applyFont="1" applyFill="1" applyBorder="1" applyAlignment="1">
      <alignment vertical="top" wrapText="1"/>
    </xf>
    <xf numFmtId="164" fontId="7" fillId="3" borderId="4" xfId="0" applyNumberFormat="1" applyFont="1" applyFill="1" applyBorder="1" applyAlignment="1">
      <alignment horizontal="left" vertical="top" wrapText="1"/>
    </xf>
    <xf numFmtId="164" fontId="5" fillId="0" borderId="4" xfId="0" applyNumberFormat="1" applyFont="1" applyBorder="1" applyAlignment="1">
      <alignment horizontal="left" vertical="top" wrapText="1"/>
    </xf>
    <xf numFmtId="0" fontId="7" fillId="4" borderId="3" xfId="0" applyFont="1" applyFill="1" applyBorder="1" applyAlignment="1">
      <alignment vertical="top" wrapText="1"/>
    </xf>
    <xf numFmtId="164" fontId="7" fillId="4" borderId="4" xfId="0" applyNumberFormat="1" applyFont="1" applyFill="1" applyBorder="1" applyAlignment="1">
      <alignment horizontal="left" vertical="top" wrapText="1"/>
    </xf>
    <xf numFmtId="164" fontId="5" fillId="0" borderId="1" xfId="0" applyNumberFormat="1" applyFont="1" applyBorder="1" applyAlignment="1">
      <alignment horizontal="left" vertical="top" wrapText="1"/>
    </xf>
    <xf numFmtId="0" fontId="7" fillId="0" borderId="3" xfId="0" applyFont="1" applyBorder="1" applyAlignment="1">
      <alignment vertical="top" wrapText="1"/>
    </xf>
    <xf numFmtId="164" fontId="7" fillId="0" borderId="5" xfId="0" applyNumberFormat="1" applyFont="1" applyBorder="1" applyAlignment="1">
      <alignment horizontal="left" vertical="top" wrapText="1"/>
    </xf>
    <xf numFmtId="164" fontId="7" fillId="0" borderId="2" xfId="0" applyNumberFormat="1" applyFont="1" applyBorder="1" applyAlignment="1">
      <alignment horizontal="left" vertical="top" wrapText="1"/>
    </xf>
    <xf numFmtId="164" fontId="5" fillId="0" borderId="6" xfId="0" applyNumberFormat="1" applyFont="1" applyBorder="1" applyAlignment="1">
      <alignment horizontal="left" vertical="top" wrapText="1"/>
    </xf>
    <xf numFmtId="164" fontId="7" fillId="0" borderId="4" xfId="0" applyNumberFormat="1" applyFont="1" applyBorder="1" applyAlignment="1">
      <alignment horizontal="left" vertical="top" wrapText="1"/>
    </xf>
    <xf numFmtId="164" fontId="5" fillId="0" borderId="4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center"/>
    </xf>
    <xf numFmtId="0" fontId="6" fillId="0" borderId="0" xfId="0" applyFont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4"/>
  <sheetViews>
    <sheetView tabSelected="1" topLeftCell="A31" zoomScale="75" workbookViewId="0">
      <selection activeCell="F13" sqref="F13"/>
    </sheetView>
  </sheetViews>
  <sheetFormatPr defaultRowHeight="13.2" x14ac:dyDescent="0.25"/>
  <cols>
    <col min="1" max="1" width="58.6640625" customWidth="1"/>
    <col min="2" max="2" width="15.6640625" customWidth="1"/>
    <col min="3" max="4" width="13.88671875" customWidth="1"/>
    <col min="5" max="5" width="13.44140625" customWidth="1"/>
    <col min="6" max="6" width="14.44140625" customWidth="1"/>
    <col min="7" max="8" width="14.33203125" customWidth="1"/>
    <col min="9" max="9" width="14.5546875" customWidth="1"/>
    <col min="10" max="13" width="13.88671875" customWidth="1"/>
    <col min="14" max="14" width="18" customWidth="1"/>
  </cols>
  <sheetData>
    <row r="1" spans="1:18" ht="20.25" customHeight="1" x14ac:dyDescent="0.35">
      <c r="A1" s="21" t="s">
        <v>44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8" ht="7.5" customHeight="1" thickBot="1" x14ac:dyDescent="0.3">
      <c r="A2" s="1"/>
      <c r="R2" s="2"/>
    </row>
    <row r="3" spans="1:18" ht="3" hidden="1" customHeight="1" thickBot="1" x14ac:dyDescent="0.3">
      <c r="A3" s="1"/>
    </row>
    <row r="4" spans="1:18" ht="38.25" customHeight="1" thickBot="1" x14ac:dyDescent="0.3">
      <c r="A4" s="5" t="s">
        <v>0</v>
      </c>
      <c r="B4" s="6" t="s">
        <v>29</v>
      </c>
      <c r="C4" s="6" t="s">
        <v>30</v>
      </c>
      <c r="D4" s="6" t="s">
        <v>31</v>
      </c>
      <c r="E4" s="6" t="s">
        <v>32</v>
      </c>
      <c r="F4" s="6" t="s">
        <v>33</v>
      </c>
      <c r="G4" s="6" t="s">
        <v>34</v>
      </c>
      <c r="H4" s="6" t="s">
        <v>35</v>
      </c>
      <c r="I4" s="6" t="s">
        <v>36</v>
      </c>
      <c r="J4" s="6" t="s">
        <v>37</v>
      </c>
      <c r="K4" s="6" t="s">
        <v>38</v>
      </c>
      <c r="L4" s="6" t="s">
        <v>39</v>
      </c>
      <c r="M4" s="6" t="s">
        <v>40</v>
      </c>
      <c r="N4" s="6" t="s">
        <v>41</v>
      </c>
    </row>
    <row r="5" spans="1:18" ht="23.25" customHeight="1" thickBot="1" x14ac:dyDescent="0.3">
      <c r="A5" s="7" t="s">
        <v>15</v>
      </c>
      <c r="B5" s="8">
        <v>219905.74</v>
      </c>
      <c r="C5" s="8">
        <f t="shared" ref="C5" si="0">B42</f>
        <v>257440.46749999997</v>
      </c>
      <c r="D5" s="8">
        <f t="shared" ref="D5" si="1">C42</f>
        <v>281568.17774000001</v>
      </c>
      <c r="E5" s="8">
        <f t="shared" ref="E5" si="2">D42</f>
        <v>-444920.11365000001</v>
      </c>
      <c r="F5" s="8">
        <f t="shared" ref="F5" si="3">E42</f>
        <v>-408468.34954000002</v>
      </c>
      <c r="G5" s="8">
        <f t="shared" ref="G5" si="4">F42</f>
        <v>-355977.18200999999</v>
      </c>
      <c r="H5" s="8">
        <f t="shared" ref="H5" si="5">G42</f>
        <v>-328720.53138999996</v>
      </c>
      <c r="I5" s="8">
        <f t="shared" ref="I5" si="6">H42</f>
        <v>-282893.72098999994</v>
      </c>
      <c r="J5" s="8">
        <f t="shared" ref="J5" si="7">I42</f>
        <v>-233368.09982999993</v>
      </c>
      <c r="K5" s="8">
        <f t="shared" ref="K5" si="8">J42</f>
        <v>-192405.93303999992</v>
      </c>
      <c r="L5" s="8">
        <f t="shared" ref="L5" si="9">K42</f>
        <v>-191137.47844999988</v>
      </c>
      <c r="M5" s="8">
        <f t="shared" ref="M5" si="10">L42</f>
        <v>-148770.6100799999</v>
      </c>
      <c r="N5" s="8">
        <f>B5</f>
        <v>219905.74</v>
      </c>
    </row>
    <row r="6" spans="1:18" ht="21" customHeight="1" thickBot="1" x14ac:dyDescent="0.3">
      <c r="A6" s="7" t="s">
        <v>13</v>
      </c>
      <c r="B6" s="8">
        <v>-244295.71</v>
      </c>
      <c r="C6" s="8">
        <f t="shared" ref="C6:M6" si="11">B44</f>
        <v>-254529</v>
      </c>
      <c r="D6" s="8">
        <f t="shared" si="11"/>
        <v>-264008.82999999996</v>
      </c>
      <c r="E6" s="8">
        <f t="shared" si="11"/>
        <v>-260353.67999999996</v>
      </c>
      <c r="F6" s="8">
        <f t="shared" si="11"/>
        <v>-264041.68</v>
      </c>
      <c r="G6" s="8">
        <f t="shared" si="11"/>
        <v>-256402.95999999996</v>
      </c>
      <c r="H6" s="8">
        <f t="shared" si="11"/>
        <v>-264617.71999999997</v>
      </c>
      <c r="I6" s="8">
        <f t="shared" si="11"/>
        <v>-255516.09999999998</v>
      </c>
      <c r="J6" s="8">
        <f t="shared" si="11"/>
        <v>-260355.08999999997</v>
      </c>
      <c r="K6" s="8">
        <f t="shared" si="11"/>
        <v>-254324.16999999995</v>
      </c>
      <c r="L6" s="8">
        <f t="shared" si="11"/>
        <v>-273744.60999999993</v>
      </c>
      <c r="M6" s="8">
        <f t="shared" si="11"/>
        <v>-257146.71999999994</v>
      </c>
      <c r="N6" s="8">
        <f>B6</f>
        <v>-244295.71</v>
      </c>
    </row>
    <row r="7" spans="1:18" ht="20.25" customHeight="1" thickBot="1" x14ac:dyDescent="0.3">
      <c r="A7" s="9" t="s">
        <v>12</v>
      </c>
      <c r="B7" s="10">
        <f>SUM(B8:B14)</f>
        <v>135050.4</v>
      </c>
      <c r="C7" s="10">
        <f>SUM(C8:C14)</f>
        <v>137401.21999999997</v>
      </c>
      <c r="D7" s="10">
        <f>SUM(D8:D14)</f>
        <v>131730.13</v>
      </c>
      <c r="E7" s="10">
        <f t="shared" ref="E7:M7" si="12">SUM(E8:E14)</f>
        <v>133643.13</v>
      </c>
      <c r="F7" s="10">
        <f t="shared" si="12"/>
        <v>135983.78999999998</v>
      </c>
      <c r="G7" s="10">
        <f t="shared" si="12"/>
        <v>132613.06</v>
      </c>
      <c r="H7" s="10">
        <f t="shared" si="12"/>
        <v>146037</v>
      </c>
      <c r="I7" s="10">
        <f t="shared" si="12"/>
        <v>142033.18</v>
      </c>
      <c r="J7" s="10">
        <f t="shared" si="12"/>
        <v>132682.37</v>
      </c>
      <c r="K7" s="10">
        <f t="shared" si="12"/>
        <v>142793.37</v>
      </c>
      <c r="L7" s="10">
        <f t="shared" si="12"/>
        <v>134171.81</v>
      </c>
      <c r="M7" s="10">
        <f t="shared" si="12"/>
        <v>132596.46</v>
      </c>
      <c r="N7" s="10">
        <f>SUM(B7:M7)</f>
        <v>1636735.92</v>
      </c>
    </row>
    <row r="8" spans="1:18" ht="24.75" customHeight="1" thickBot="1" x14ac:dyDescent="0.3">
      <c r="A8" s="4" t="s">
        <v>27</v>
      </c>
      <c r="B8" s="11">
        <v>98466.2</v>
      </c>
      <c r="C8" s="11">
        <v>98466.2</v>
      </c>
      <c r="D8" s="11">
        <v>98466.2</v>
      </c>
      <c r="E8" s="11">
        <v>98466.2</v>
      </c>
      <c r="F8" s="11">
        <v>98466.2</v>
      </c>
      <c r="G8" s="11">
        <v>98466.2</v>
      </c>
      <c r="H8" s="11">
        <v>98466.2</v>
      </c>
      <c r="I8" s="11">
        <f>97420.72-5.11-33.92</f>
        <v>97381.69</v>
      </c>
      <c r="J8" s="11">
        <v>98403.65</v>
      </c>
      <c r="K8" s="11">
        <v>98403.65</v>
      </c>
      <c r="L8" s="11">
        <v>98403.65</v>
      </c>
      <c r="M8" s="11">
        <v>98403.65</v>
      </c>
      <c r="N8" s="11">
        <f>SUM(B8:M8)</f>
        <v>1180259.6899999997</v>
      </c>
    </row>
    <row r="9" spans="1:18" ht="24.75" customHeight="1" thickBot="1" x14ac:dyDescent="0.3">
      <c r="A9" s="4" t="s">
        <v>16</v>
      </c>
      <c r="B9" s="11">
        <v>0</v>
      </c>
      <c r="C9" s="11">
        <v>4579.32</v>
      </c>
      <c r="D9" s="11">
        <v>659.99</v>
      </c>
      <c r="E9" s="11">
        <v>0</v>
      </c>
      <c r="F9" s="11">
        <v>0</v>
      </c>
      <c r="G9" s="11">
        <v>0</v>
      </c>
      <c r="H9" s="11">
        <v>10021.77</v>
      </c>
      <c r="I9" s="11">
        <v>0</v>
      </c>
      <c r="J9" s="11">
        <v>0</v>
      </c>
      <c r="K9" s="11">
        <v>0</v>
      </c>
      <c r="L9" s="11">
        <v>0</v>
      </c>
      <c r="M9" s="11">
        <v>0</v>
      </c>
      <c r="N9" s="11">
        <f t="shared" ref="N9:N14" si="13">SUM(B9:M9)</f>
        <v>15261.08</v>
      </c>
    </row>
    <row r="10" spans="1:18" ht="21.75" customHeight="1" thickBot="1" x14ac:dyDescent="0.3">
      <c r="A10" s="4" t="s">
        <v>17</v>
      </c>
      <c r="B10" s="11">
        <v>325.88</v>
      </c>
      <c r="C10" s="11">
        <v>325.88</v>
      </c>
      <c r="D10" s="11">
        <v>325.83999999999997</v>
      </c>
      <c r="E10" s="11">
        <v>325.83999999999997</v>
      </c>
      <c r="F10" s="11">
        <v>325.83999999999997</v>
      </c>
      <c r="G10" s="11">
        <v>325.83999999999997</v>
      </c>
      <c r="H10" s="11">
        <v>360.1</v>
      </c>
      <c r="I10" s="11">
        <v>357.42</v>
      </c>
      <c r="J10" s="11">
        <v>360.01</v>
      </c>
      <c r="K10" s="11">
        <v>360.01</v>
      </c>
      <c r="L10" s="11">
        <v>360.01</v>
      </c>
      <c r="M10" s="11">
        <v>360.01</v>
      </c>
      <c r="N10" s="11">
        <f t="shared" si="13"/>
        <v>4112.68</v>
      </c>
    </row>
    <row r="11" spans="1:18" ht="22.5" customHeight="1" thickBot="1" x14ac:dyDescent="0.3">
      <c r="A11" s="4" t="s">
        <v>18</v>
      </c>
      <c r="B11" s="11">
        <v>5498.76</v>
      </c>
      <c r="C11" s="11">
        <v>3270.26</v>
      </c>
      <c r="D11" s="11">
        <v>1597.72</v>
      </c>
      <c r="E11" s="11">
        <v>4170.71</v>
      </c>
      <c r="F11" s="11">
        <v>6511.37</v>
      </c>
      <c r="G11" s="11">
        <v>0</v>
      </c>
      <c r="H11" s="11">
        <v>3270.26</v>
      </c>
      <c r="I11" s="11">
        <v>10432.58</v>
      </c>
      <c r="J11" s="11">
        <v>0</v>
      </c>
      <c r="K11" s="11">
        <v>10111</v>
      </c>
      <c r="L11" s="11">
        <v>1852.67</v>
      </c>
      <c r="M11" s="11">
        <v>3134.73</v>
      </c>
      <c r="N11" s="11">
        <f t="shared" si="13"/>
        <v>49850.060000000005</v>
      </c>
    </row>
    <row r="12" spans="1:18" ht="22.5" customHeight="1" thickBot="1" x14ac:dyDescent="0.3">
      <c r="A12" s="4" t="s">
        <v>26</v>
      </c>
      <c r="B12" s="11">
        <v>628.69000000000005</v>
      </c>
      <c r="C12" s="11">
        <v>628.69000000000005</v>
      </c>
      <c r="D12" s="11">
        <v>628.69000000000005</v>
      </c>
      <c r="E12" s="11">
        <v>628.69000000000005</v>
      </c>
      <c r="F12" s="11">
        <v>628.69000000000005</v>
      </c>
      <c r="G12" s="11">
        <v>628.69000000000005</v>
      </c>
      <c r="H12" s="11">
        <v>726.34</v>
      </c>
      <c r="I12" s="11">
        <v>726.38</v>
      </c>
      <c r="J12" s="11">
        <v>726.38</v>
      </c>
      <c r="K12" s="11">
        <v>726.38</v>
      </c>
      <c r="L12" s="11">
        <v>363.15</v>
      </c>
      <c r="M12" s="11">
        <v>-2494.2600000000002</v>
      </c>
      <c r="N12" s="11">
        <f t="shared" si="13"/>
        <v>4546.51</v>
      </c>
    </row>
    <row r="13" spans="1:18" ht="22.5" customHeight="1" thickBot="1" x14ac:dyDescent="0.3">
      <c r="A13" s="4" t="s">
        <v>42</v>
      </c>
      <c r="B13" s="11">
        <v>5780.87</v>
      </c>
      <c r="C13" s="11">
        <v>5780.87</v>
      </c>
      <c r="D13" s="11">
        <v>5701.69</v>
      </c>
      <c r="E13" s="11">
        <v>5701.69</v>
      </c>
      <c r="F13" s="11">
        <v>5701.69</v>
      </c>
      <c r="G13" s="11">
        <v>8842.33</v>
      </c>
      <c r="H13" s="11">
        <v>8842.33</v>
      </c>
      <c r="I13" s="11">
        <v>8785.11</v>
      </c>
      <c r="J13" s="11">
        <v>8842.33</v>
      </c>
      <c r="K13" s="11">
        <v>8842.33</v>
      </c>
      <c r="L13" s="11">
        <v>8842.33</v>
      </c>
      <c r="M13" s="11">
        <v>8842.33</v>
      </c>
      <c r="N13" s="11">
        <f t="shared" si="13"/>
        <v>90505.900000000009</v>
      </c>
    </row>
    <row r="14" spans="1:18" ht="24" customHeight="1" thickBot="1" x14ac:dyDescent="0.3">
      <c r="A14" s="4" t="s">
        <v>14</v>
      </c>
      <c r="B14" s="11">
        <v>24350</v>
      </c>
      <c r="C14" s="11">
        <v>24350</v>
      </c>
      <c r="D14" s="11">
        <v>24350</v>
      </c>
      <c r="E14" s="11">
        <v>24350</v>
      </c>
      <c r="F14" s="11">
        <v>24350</v>
      </c>
      <c r="G14" s="11">
        <v>24350</v>
      </c>
      <c r="H14" s="11">
        <v>24350</v>
      </c>
      <c r="I14" s="11">
        <v>24350</v>
      </c>
      <c r="J14" s="11">
        <v>24350</v>
      </c>
      <c r="K14" s="11">
        <v>24350</v>
      </c>
      <c r="L14" s="11">
        <v>24350</v>
      </c>
      <c r="M14" s="11">
        <v>24350</v>
      </c>
      <c r="N14" s="11">
        <f t="shared" si="13"/>
        <v>292200</v>
      </c>
    </row>
    <row r="15" spans="1:18" ht="20.25" customHeight="1" thickBot="1" x14ac:dyDescent="0.3">
      <c r="A15" s="12" t="s">
        <v>8</v>
      </c>
      <c r="B15" s="13">
        <f>SUM(B16:B22)</f>
        <v>124817.11</v>
      </c>
      <c r="C15" s="13">
        <f>SUM(C16:C22)</f>
        <v>127921.39000000003</v>
      </c>
      <c r="D15" s="13">
        <f>SUM(D16:D22)</f>
        <v>135385.28</v>
      </c>
      <c r="E15" s="13">
        <f t="shared" ref="E15:M15" si="14">SUM(E16:E22)</f>
        <v>129955.12999999999</v>
      </c>
      <c r="F15" s="13">
        <f t="shared" si="14"/>
        <v>143622.51</v>
      </c>
      <c r="G15" s="13">
        <f t="shared" si="14"/>
        <v>124398.3</v>
      </c>
      <c r="H15" s="13">
        <f t="shared" si="14"/>
        <v>155138.62</v>
      </c>
      <c r="I15" s="13">
        <f t="shared" si="14"/>
        <v>137194.19</v>
      </c>
      <c r="J15" s="13">
        <f t="shared" si="14"/>
        <v>138713.29</v>
      </c>
      <c r="K15" s="13">
        <f t="shared" si="14"/>
        <v>123372.93000000001</v>
      </c>
      <c r="L15" s="13">
        <f t="shared" si="14"/>
        <v>138218.99</v>
      </c>
      <c r="M15" s="13">
        <f t="shared" si="14"/>
        <v>157754.97999999998</v>
      </c>
      <c r="N15" s="13">
        <f>SUM(B15:M15)</f>
        <v>1636492.72</v>
      </c>
    </row>
    <row r="16" spans="1:18" ht="24" customHeight="1" thickBot="1" x14ac:dyDescent="0.3">
      <c r="A16" s="4" t="s">
        <v>27</v>
      </c>
      <c r="B16" s="11">
        <v>87640.52</v>
      </c>
      <c r="C16" s="11">
        <v>92455.02</v>
      </c>
      <c r="D16" s="11">
        <v>97781.38</v>
      </c>
      <c r="E16" s="11">
        <v>97379.9</v>
      </c>
      <c r="F16" s="11">
        <v>104343.69</v>
      </c>
      <c r="G16" s="11">
        <v>88975.2</v>
      </c>
      <c r="H16" s="11">
        <v>119112.78</v>
      </c>
      <c r="I16" s="11">
        <v>92179.11</v>
      </c>
      <c r="J16" s="11">
        <v>95544.74</v>
      </c>
      <c r="K16" s="11">
        <v>89435.91</v>
      </c>
      <c r="L16" s="11">
        <v>95349.85</v>
      </c>
      <c r="M16" s="11">
        <v>116583.42</v>
      </c>
      <c r="N16" s="11">
        <f>SUM(B16:M16)</f>
        <v>1176781.52</v>
      </c>
    </row>
    <row r="17" spans="1:15" ht="26.25" customHeight="1" thickBot="1" x14ac:dyDescent="0.3">
      <c r="A17" s="4" t="s">
        <v>16</v>
      </c>
      <c r="B17" s="11">
        <v>2925.72</v>
      </c>
      <c r="C17" s="11">
        <v>122.38</v>
      </c>
      <c r="D17" s="11">
        <v>4189.04</v>
      </c>
      <c r="E17" s="11">
        <v>737.51</v>
      </c>
      <c r="F17" s="11">
        <v>265.58</v>
      </c>
      <c r="G17" s="11">
        <v>10.87</v>
      </c>
      <c r="H17" s="11">
        <v>213.27</v>
      </c>
      <c r="I17" s="11">
        <v>8845.51</v>
      </c>
      <c r="J17" s="11">
        <v>432.42</v>
      </c>
      <c r="K17" s="11">
        <v>67.88</v>
      </c>
      <c r="L17" s="11">
        <v>145.47</v>
      </c>
      <c r="M17" s="11">
        <v>8.2899999999999991</v>
      </c>
      <c r="N17" s="11">
        <f t="shared" ref="N17:N21" si="15">SUM(B17:M17)</f>
        <v>17963.940000000002</v>
      </c>
    </row>
    <row r="18" spans="1:15" ht="26.25" customHeight="1" thickBot="1" x14ac:dyDescent="0.3">
      <c r="A18" s="4" t="s">
        <v>17</v>
      </c>
      <c r="B18" s="11">
        <v>290.69</v>
      </c>
      <c r="C18" s="11">
        <v>308.82</v>
      </c>
      <c r="D18" s="11">
        <v>324.25</v>
      </c>
      <c r="E18" s="11">
        <v>323.64999999999998</v>
      </c>
      <c r="F18" s="11">
        <v>346.31</v>
      </c>
      <c r="G18" s="11">
        <v>295.02</v>
      </c>
      <c r="H18" s="11">
        <v>395.23</v>
      </c>
      <c r="I18" s="11">
        <v>336.32</v>
      </c>
      <c r="J18" s="11">
        <v>349.38</v>
      </c>
      <c r="K18" s="11">
        <v>326.81</v>
      </c>
      <c r="L18" s="11">
        <v>348.95</v>
      </c>
      <c r="M18" s="11">
        <v>424.72</v>
      </c>
      <c r="N18" s="11">
        <f t="shared" si="15"/>
        <v>4070.1499999999996</v>
      </c>
    </row>
    <row r="19" spans="1:15" ht="24" customHeight="1" thickBot="1" x14ac:dyDescent="0.3">
      <c r="A19" s="4" t="s">
        <v>18</v>
      </c>
      <c r="B19" s="11">
        <v>2334.37</v>
      </c>
      <c r="C19" s="11">
        <v>5008.41</v>
      </c>
      <c r="D19" s="11">
        <v>3324.87</v>
      </c>
      <c r="E19" s="11">
        <v>1803.66</v>
      </c>
      <c r="F19" s="11">
        <v>4189.6499999999996</v>
      </c>
      <c r="G19" s="11">
        <v>5804.53</v>
      </c>
      <c r="H19" s="11">
        <v>1152.1600000000001</v>
      </c>
      <c r="I19" s="11">
        <v>3017.38</v>
      </c>
      <c r="J19" s="11">
        <v>9600.7900000000009</v>
      </c>
      <c r="K19" s="11">
        <v>278.43</v>
      </c>
      <c r="L19" s="11">
        <v>9149.8700000000008</v>
      </c>
      <c r="M19" s="11">
        <v>2974.2</v>
      </c>
      <c r="N19" s="11">
        <f t="shared" si="15"/>
        <v>48638.32</v>
      </c>
    </row>
    <row r="20" spans="1:15" ht="24" customHeight="1" thickBot="1" x14ac:dyDescent="0.3">
      <c r="A20" s="4" t="s">
        <v>26</v>
      </c>
      <c r="B20" s="11">
        <v>557.66999999999996</v>
      </c>
      <c r="C20" s="11">
        <v>592.91</v>
      </c>
      <c r="D20" s="11">
        <v>622.44000000000005</v>
      </c>
      <c r="E20" s="11">
        <v>621.44000000000005</v>
      </c>
      <c r="F20" s="11">
        <v>665.47</v>
      </c>
      <c r="G20" s="11">
        <v>566.27</v>
      </c>
      <c r="H20" s="11">
        <v>757.2</v>
      </c>
      <c r="I20" s="11">
        <v>673.9</v>
      </c>
      <c r="J20" s="11">
        <v>701.39</v>
      </c>
      <c r="K20" s="11">
        <v>655.63</v>
      </c>
      <c r="L20" s="11">
        <v>700.96</v>
      </c>
      <c r="M20" s="11">
        <v>373.43</v>
      </c>
      <c r="N20" s="11">
        <f t="shared" si="15"/>
        <v>7488.7100000000009</v>
      </c>
    </row>
    <row r="21" spans="1:15" ht="24" customHeight="1" thickBot="1" x14ac:dyDescent="0.3">
      <c r="A21" s="4" t="s">
        <v>42</v>
      </c>
      <c r="B21" s="11">
        <v>5068.1400000000003</v>
      </c>
      <c r="C21" s="11">
        <v>5383.85</v>
      </c>
      <c r="D21" s="11">
        <v>5543.3</v>
      </c>
      <c r="E21" s="11">
        <v>5488.97</v>
      </c>
      <c r="F21" s="11">
        <v>5861.81</v>
      </c>
      <c r="G21" s="11">
        <v>5146.41</v>
      </c>
      <c r="H21" s="11">
        <v>9307.98</v>
      </c>
      <c r="I21" s="11">
        <v>8091.97</v>
      </c>
      <c r="J21" s="11">
        <v>8484.57</v>
      </c>
      <c r="K21" s="11">
        <v>8108.27</v>
      </c>
      <c r="L21" s="11">
        <v>8473.89</v>
      </c>
      <c r="M21" s="11">
        <v>9890.92</v>
      </c>
      <c r="N21" s="11">
        <f t="shared" si="15"/>
        <v>84850.08</v>
      </c>
    </row>
    <row r="22" spans="1:15" ht="21" customHeight="1" thickBot="1" x14ac:dyDescent="0.3">
      <c r="A22" s="4" t="s">
        <v>14</v>
      </c>
      <c r="B22" s="14">
        <v>26000</v>
      </c>
      <c r="C22" s="14">
        <v>24050</v>
      </c>
      <c r="D22" s="14">
        <v>23600</v>
      </c>
      <c r="E22" s="14">
        <v>23600</v>
      </c>
      <c r="F22" s="14">
        <v>27950</v>
      </c>
      <c r="G22" s="14">
        <v>23600</v>
      </c>
      <c r="H22" s="11">
        <v>24200</v>
      </c>
      <c r="I22" s="11">
        <v>24050</v>
      </c>
      <c r="J22" s="11">
        <v>23600</v>
      </c>
      <c r="K22" s="11">
        <v>24500</v>
      </c>
      <c r="L22" s="11">
        <v>24050</v>
      </c>
      <c r="M22" s="11">
        <v>27500</v>
      </c>
      <c r="N22" s="11">
        <f>SUM(B22:M22)</f>
        <v>296700</v>
      </c>
      <c r="O22" s="3"/>
    </row>
    <row r="23" spans="1:15" ht="21.75" customHeight="1" thickBot="1" x14ac:dyDescent="0.3">
      <c r="A23" s="15" t="s">
        <v>23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7"/>
    </row>
    <row r="24" spans="1:15" ht="19.5" customHeight="1" thickBot="1" x14ac:dyDescent="0.3">
      <c r="A24" s="4" t="s">
        <v>1</v>
      </c>
      <c r="B24" s="11">
        <f>3935.5*0.6</f>
        <v>2361.2999999999997</v>
      </c>
      <c r="C24" s="11">
        <f t="shared" ref="C24:M24" si="16">3935.5*0.6</f>
        <v>2361.2999999999997</v>
      </c>
      <c r="D24" s="11">
        <f t="shared" si="16"/>
        <v>2361.2999999999997</v>
      </c>
      <c r="E24" s="11">
        <f t="shared" si="16"/>
        <v>2361.2999999999997</v>
      </c>
      <c r="F24" s="11">
        <f t="shared" si="16"/>
        <v>2361.2999999999997</v>
      </c>
      <c r="G24" s="11">
        <f t="shared" si="16"/>
        <v>2361.2999999999997</v>
      </c>
      <c r="H24" s="11">
        <f t="shared" si="16"/>
        <v>2361.2999999999997</v>
      </c>
      <c r="I24" s="11">
        <f t="shared" si="16"/>
        <v>2361.2999999999997</v>
      </c>
      <c r="J24" s="11">
        <f t="shared" si="16"/>
        <v>2361.2999999999997</v>
      </c>
      <c r="K24" s="11">
        <f t="shared" si="16"/>
        <v>2361.2999999999997</v>
      </c>
      <c r="L24" s="11">
        <f t="shared" si="16"/>
        <v>2361.2999999999997</v>
      </c>
      <c r="M24" s="11">
        <f t="shared" si="16"/>
        <v>2361.2999999999997</v>
      </c>
      <c r="N24" s="11">
        <f t="shared" ref="N24:N39" si="17">SUM(B24:M24)</f>
        <v>28335.599999999995</v>
      </c>
    </row>
    <row r="25" spans="1:15" ht="22.5" customHeight="1" thickBot="1" x14ac:dyDescent="0.3">
      <c r="A25" s="4" t="s">
        <v>2</v>
      </c>
      <c r="B25" s="11">
        <f>3935.5*0.17</f>
        <v>669.03500000000008</v>
      </c>
      <c r="C25" s="11">
        <f t="shared" ref="C25:M25" si="18">3935.5*0.17</f>
        <v>669.03500000000008</v>
      </c>
      <c r="D25" s="11">
        <f t="shared" si="18"/>
        <v>669.03500000000008</v>
      </c>
      <c r="E25" s="11">
        <f t="shared" si="18"/>
        <v>669.03500000000008</v>
      </c>
      <c r="F25" s="11">
        <f t="shared" si="18"/>
        <v>669.03500000000008</v>
      </c>
      <c r="G25" s="11">
        <f t="shared" si="18"/>
        <v>669.03500000000008</v>
      </c>
      <c r="H25" s="11">
        <f t="shared" si="18"/>
        <v>669.03500000000008</v>
      </c>
      <c r="I25" s="11">
        <f t="shared" si="18"/>
        <v>669.03500000000008</v>
      </c>
      <c r="J25" s="11">
        <f t="shared" si="18"/>
        <v>669.03500000000008</v>
      </c>
      <c r="K25" s="11">
        <f t="shared" si="18"/>
        <v>669.03500000000008</v>
      </c>
      <c r="L25" s="11">
        <f t="shared" si="18"/>
        <v>669.03500000000008</v>
      </c>
      <c r="M25" s="11">
        <f t="shared" si="18"/>
        <v>669.03500000000008</v>
      </c>
      <c r="N25" s="11">
        <f t="shared" si="17"/>
        <v>8028.4199999999992</v>
      </c>
    </row>
    <row r="26" spans="1:15" ht="21" customHeight="1" thickBot="1" x14ac:dyDescent="0.3">
      <c r="A26" s="4" t="s">
        <v>3</v>
      </c>
      <c r="B26" s="11">
        <f>110700.4*2.3%</f>
        <v>2546.1091999999999</v>
      </c>
      <c r="C26" s="11">
        <f>113051.22*2.3%</f>
        <v>2600.1780600000002</v>
      </c>
      <c r="D26" s="11">
        <f>107380.13*2.3%</f>
        <v>2469.7429900000002</v>
      </c>
      <c r="E26" s="11">
        <f>109293.13*2.3%</f>
        <v>2513.74199</v>
      </c>
      <c r="F26" s="11">
        <f>111633.79*2.3%</f>
        <v>2567.57717</v>
      </c>
      <c r="G26" s="11">
        <f>108263.06*2.3%</f>
        <v>2490.0503799999997</v>
      </c>
      <c r="H26" s="11">
        <f>121687*2.3%</f>
        <v>2798.8009999999999</v>
      </c>
      <c r="I26" s="11">
        <f>117683.18*2.3%</f>
        <v>2706.7131399999998</v>
      </c>
      <c r="J26" s="11">
        <f>108332.37*2.3%</f>
        <v>2491.6445099999996</v>
      </c>
      <c r="K26" s="11">
        <f>118443.37*2.3%</f>
        <v>2724.19751</v>
      </c>
      <c r="L26" s="11">
        <f>109821.81*2.3%</f>
        <v>2525.9016299999998</v>
      </c>
      <c r="M26" s="11">
        <f>108246.46*2.3%</f>
        <v>2489.66858</v>
      </c>
      <c r="N26" s="11">
        <f t="shared" si="17"/>
        <v>30924.326160000001</v>
      </c>
    </row>
    <row r="27" spans="1:15" ht="23.25" customHeight="1" thickBot="1" x14ac:dyDescent="0.3">
      <c r="A27" s="4" t="s">
        <v>4</v>
      </c>
      <c r="B27" s="11">
        <f>98817.11*3%</f>
        <v>2964.5133000000001</v>
      </c>
      <c r="C27" s="11">
        <f>103871.39*3%</f>
        <v>3116.1416999999997</v>
      </c>
      <c r="D27" s="11">
        <f>111785.28*3%</f>
        <v>3353.5583999999999</v>
      </c>
      <c r="E27" s="11">
        <f>106355.13*3%</f>
        <v>3190.6539000000002</v>
      </c>
      <c r="F27" s="11">
        <f>115672.51*3%</f>
        <v>3470.1752999999999</v>
      </c>
      <c r="G27" s="11">
        <f>100798.3*3%</f>
        <v>3023.9490000000001</v>
      </c>
      <c r="H27" s="11">
        <f>130938.62*3%</f>
        <v>3928.1585999999998</v>
      </c>
      <c r="I27" s="11">
        <f>113144.19*3%</f>
        <v>3394.3256999999999</v>
      </c>
      <c r="J27" s="11">
        <f>115113.29*3%</f>
        <v>3453.3986999999997</v>
      </c>
      <c r="K27" s="11">
        <f>98872.93*3%</f>
        <v>2966.1878999999999</v>
      </c>
      <c r="L27" s="11">
        <f>114168*3%</f>
        <v>3425.04</v>
      </c>
      <c r="M27" s="11">
        <f>130254.98*3%</f>
        <v>3907.6493999999998</v>
      </c>
      <c r="N27" s="11">
        <f t="shared" si="17"/>
        <v>40193.751900000003</v>
      </c>
    </row>
    <row r="28" spans="1:15" ht="23.25" customHeight="1" thickBot="1" x14ac:dyDescent="0.3">
      <c r="A28" s="4" t="s">
        <v>9</v>
      </c>
      <c r="B28" s="20">
        <f>3935.5*8.5</f>
        <v>33451.75</v>
      </c>
      <c r="C28" s="20">
        <f t="shared" ref="C28:M28" si="19">3935.5*8.5</f>
        <v>33451.75</v>
      </c>
      <c r="D28" s="20">
        <f t="shared" si="19"/>
        <v>33451.75</v>
      </c>
      <c r="E28" s="20">
        <f t="shared" si="19"/>
        <v>33451.75</v>
      </c>
      <c r="F28" s="20">
        <f t="shared" si="19"/>
        <v>33451.75</v>
      </c>
      <c r="G28" s="20">
        <f t="shared" si="19"/>
        <v>33451.75</v>
      </c>
      <c r="H28" s="20">
        <f t="shared" si="19"/>
        <v>33451.75</v>
      </c>
      <c r="I28" s="20">
        <f t="shared" si="19"/>
        <v>33451.75</v>
      </c>
      <c r="J28" s="20">
        <f t="shared" si="19"/>
        <v>33451.75</v>
      </c>
      <c r="K28" s="20">
        <f t="shared" si="19"/>
        <v>33451.75</v>
      </c>
      <c r="L28" s="20">
        <f t="shared" si="19"/>
        <v>33451.75</v>
      </c>
      <c r="M28" s="20">
        <f t="shared" si="19"/>
        <v>33451.75</v>
      </c>
      <c r="N28" s="11">
        <f t="shared" si="17"/>
        <v>401421</v>
      </c>
    </row>
    <row r="29" spans="1:15" ht="26.25" customHeight="1" thickBot="1" x14ac:dyDescent="0.3">
      <c r="A29" s="4" t="s">
        <v>19</v>
      </c>
      <c r="B29" s="11">
        <f>4579.3+0</f>
        <v>4579.3</v>
      </c>
      <c r="C29" s="11">
        <f>660.02+0.01</f>
        <v>660.03</v>
      </c>
      <c r="D29" s="11">
        <v>0</v>
      </c>
      <c r="E29" s="11">
        <v>0</v>
      </c>
      <c r="F29" s="11">
        <v>0</v>
      </c>
      <c r="G29" s="11">
        <f>8966.34+1055.52</f>
        <v>10021.86</v>
      </c>
      <c r="H29" s="11">
        <v>0</v>
      </c>
      <c r="I29" s="11">
        <v>0</v>
      </c>
      <c r="J29" s="11">
        <v>0</v>
      </c>
      <c r="K29" s="11">
        <v>0</v>
      </c>
      <c r="L29" s="11">
        <v>0</v>
      </c>
      <c r="M29" s="11">
        <v>0</v>
      </c>
      <c r="N29" s="11">
        <f t="shared" si="17"/>
        <v>15261.19</v>
      </c>
    </row>
    <row r="30" spans="1:15" ht="26.25" customHeight="1" thickBot="1" x14ac:dyDescent="0.3">
      <c r="A30" s="4" t="s">
        <v>20</v>
      </c>
      <c r="B30" s="11">
        <v>488.76</v>
      </c>
      <c r="C30" s="11">
        <v>488.76</v>
      </c>
      <c r="D30" s="11">
        <v>488.76</v>
      </c>
      <c r="E30" s="11">
        <v>488.76</v>
      </c>
      <c r="F30" s="11">
        <v>488.76</v>
      </c>
      <c r="G30" s="11">
        <v>488.76</v>
      </c>
      <c r="H30" s="11">
        <v>540.02</v>
      </c>
      <c r="I30" s="11">
        <v>540.02</v>
      </c>
      <c r="J30" s="11">
        <v>540.02</v>
      </c>
      <c r="K30" s="11">
        <v>540.02</v>
      </c>
      <c r="L30" s="11">
        <v>540.02</v>
      </c>
      <c r="M30" s="11">
        <v>540.02</v>
      </c>
      <c r="N30" s="11">
        <f t="shared" si="17"/>
        <v>6172.6800000000021</v>
      </c>
    </row>
    <row r="31" spans="1:15" ht="26.25" customHeight="1" thickBot="1" x14ac:dyDescent="0.3">
      <c r="A31" s="4" t="s">
        <v>21</v>
      </c>
      <c r="B31" s="11">
        <v>3270.2</v>
      </c>
      <c r="C31" s="11">
        <v>1597.75</v>
      </c>
      <c r="D31" s="11">
        <v>4170.75</v>
      </c>
      <c r="E31" s="11">
        <v>6511.35</v>
      </c>
      <c r="F31" s="11">
        <v>0</v>
      </c>
      <c r="G31" s="11">
        <v>3270.2</v>
      </c>
      <c r="H31" s="11">
        <v>10432.59</v>
      </c>
      <c r="I31" s="11">
        <v>0</v>
      </c>
      <c r="J31" s="11">
        <v>10110.959999999999</v>
      </c>
      <c r="K31" s="11">
        <v>1852.77</v>
      </c>
      <c r="L31" s="11">
        <v>3134.76</v>
      </c>
      <c r="M31" s="11">
        <v>3624</v>
      </c>
      <c r="N31" s="11">
        <f t="shared" si="17"/>
        <v>47975.33</v>
      </c>
    </row>
    <row r="32" spans="1:15" ht="26.25" customHeight="1" thickBot="1" x14ac:dyDescent="0.3">
      <c r="A32" s="4" t="s">
        <v>26</v>
      </c>
      <c r="B32" s="11">
        <v>628.73</v>
      </c>
      <c r="C32" s="11">
        <v>628.73</v>
      </c>
      <c r="D32" s="11">
        <v>628.73</v>
      </c>
      <c r="E32" s="11">
        <v>628.73</v>
      </c>
      <c r="F32" s="11">
        <v>628.73</v>
      </c>
      <c r="G32" s="11">
        <v>628.73</v>
      </c>
      <c r="H32" s="11">
        <v>363.23</v>
      </c>
      <c r="I32" s="11">
        <v>363.23</v>
      </c>
      <c r="J32" s="11">
        <v>363.23</v>
      </c>
      <c r="K32" s="11">
        <v>363.23</v>
      </c>
      <c r="L32" s="11">
        <v>363.23</v>
      </c>
      <c r="M32" s="11">
        <v>363.23</v>
      </c>
      <c r="N32" s="11">
        <f t="shared" si="17"/>
        <v>5951.7599999999984</v>
      </c>
    </row>
    <row r="33" spans="1:14" ht="22.5" customHeight="1" thickBot="1" x14ac:dyDescent="0.3">
      <c r="A33" s="4" t="s">
        <v>6</v>
      </c>
      <c r="B33" s="20">
        <f>3935.5*3.75+4640</f>
        <v>19398.125</v>
      </c>
      <c r="C33" s="20">
        <f t="shared" ref="C33:M33" si="20">3935.5*3.75+4640</f>
        <v>19398.125</v>
      </c>
      <c r="D33" s="20">
        <f t="shared" si="20"/>
        <v>19398.125</v>
      </c>
      <c r="E33" s="20">
        <f t="shared" si="20"/>
        <v>19398.125</v>
      </c>
      <c r="F33" s="20">
        <f t="shared" si="20"/>
        <v>19398.125</v>
      </c>
      <c r="G33" s="20">
        <f t="shared" si="20"/>
        <v>19398.125</v>
      </c>
      <c r="H33" s="20">
        <f t="shared" si="20"/>
        <v>19398.125</v>
      </c>
      <c r="I33" s="20">
        <f t="shared" si="20"/>
        <v>19398.125</v>
      </c>
      <c r="J33" s="20">
        <f t="shared" si="20"/>
        <v>19398.125</v>
      </c>
      <c r="K33" s="20">
        <f t="shared" si="20"/>
        <v>19398.125</v>
      </c>
      <c r="L33" s="20">
        <f t="shared" si="20"/>
        <v>19398.125</v>
      </c>
      <c r="M33" s="20">
        <f t="shared" si="20"/>
        <v>19398.125</v>
      </c>
      <c r="N33" s="11">
        <f t="shared" si="17"/>
        <v>232777.5</v>
      </c>
    </row>
    <row r="34" spans="1:14" ht="19.8" customHeight="1" thickBot="1" x14ac:dyDescent="0.3">
      <c r="A34" s="4" t="s">
        <v>28</v>
      </c>
      <c r="B34" s="11">
        <v>0</v>
      </c>
      <c r="C34" s="11">
        <v>0</v>
      </c>
      <c r="D34" s="11">
        <v>0</v>
      </c>
      <c r="E34" s="11">
        <v>0</v>
      </c>
      <c r="F34" s="11">
        <v>0</v>
      </c>
      <c r="G34" s="11">
        <v>0</v>
      </c>
      <c r="H34" s="11">
        <v>7800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f t="shared" si="17"/>
        <v>7800</v>
      </c>
    </row>
    <row r="35" spans="1:14" ht="24.75" customHeight="1" thickBot="1" x14ac:dyDescent="0.3">
      <c r="A35" s="4" t="s">
        <v>25</v>
      </c>
      <c r="B35" s="11">
        <f>7248.98*2</f>
        <v>14497.96</v>
      </c>
      <c r="C35" s="11">
        <f>7248.98*2</f>
        <v>14497.96</v>
      </c>
      <c r="D35" s="11">
        <f>7248.98*2</f>
        <v>14497.96</v>
      </c>
      <c r="E35" s="11">
        <f>7620.21*2</f>
        <v>15240.42</v>
      </c>
      <c r="F35" s="11">
        <f>7620.21*2</f>
        <v>15240.42</v>
      </c>
      <c r="G35" s="11">
        <f t="shared" ref="G35:M35" si="21">7288.05+7288.04</f>
        <v>14576.09</v>
      </c>
      <c r="H35" s="11">
        <f t="shared" si="21"/>
        <v>14576.09</v>
      </c>
      <c r="I35" s="11">
        <f t="shared" si="21"/>
        <v>14576.09</v>
      </c>
      <c r="J35" s="11">
        <f t="shared" si="21"/>
        <v>14576.09</v>
      </c>
      <c r="K35" s="11">
        <f t="shared" si="21"/>
        <v>14576.09</v>
      </c>
      <c r="L35" s="11">
        <f t="shared" si="21"/>
        <v>14576.09</v>
      </c>
      <c r="M35" s="11">
        <f t="shared" si="21"/>
        <v>14576.09</v>
      </c>
      <c r="N35" s="11">
        <f t="shared" si="17"/>
        <v>176007.34999999998</v>
      </c>
    </row>
    <row r="36" spans="1:14" ht="21.75" customHeight="1" thickBot="1" x14ac:dyDescent="0.3">
      <c r="A36" s="4" t="s">
        <v>42</v>
      </c>
      <c r="B36" s="11">
        <v>0</v>
      </c>
      <c r="C36" s="11">
        <v>2979.56</v>
      </c>
      <c r="D36" s="11">
        <v>3068.7</v>
      </c>
      <c r="E36" s="11">
        <v>3159.31</v>
      </c>
      <c r="F36" s="11">
        <v>3128.28</v>
      </c>
      <c r="G36" s="11">
        <v>3341.26</v>
      </c>
      <c r="H36" s="11">
        <v>2933.49</v>
      </c>
      <c r="I36" s="11">
        <v>5305.59</v>
      </c>
      <c r="J36" s="11">
        <v>4612.38</v>
      </c>
      <c r="K36" s="11">
        <v>4836.2</v>
      </c>
      <c r="L36" s="11">
        <v>4621.79</v>
      </c>
      <c r="M36" s="11">
        <v>4830.72</v>
      </c>
      <c r="N36" s="11">
        <f t="shared" si="17"/>
        <v>42817.279999999999</v>
      </c>
    </row>
    <row r="37" spans="1:14" ht="21.75" customHeight="1" thickBot="1" x14ac:dyDescent="0.3">
      <c r="A37" s="4" t="s">
        <v>43</v>
      </c>
      <c r="B37" s="11">
        <v>0</v>
      </c>
      <c r="C37" s="11">
        <f>1567.96+679</f>
        <v>2246.96</v>
      </c>
      <c r="D37" s="11">
        <f>1615.16+700</f>
        <v>2315.16</v>
      </c>
      <c r="E37" s="11">
        <f>721+1662.99</f>
        <v>2383.9899999999998</v>
      </c>
      <c r="F37" s="11">
        <f>714+1646.69</f>
        <v>2360.69</v>
      </c>
      <c r="G37" s="11">
        <f>762+1758.54</f>
        <v>2520.54</v>
      </c>
      <c r="H37" s="11">
        <f>669+1543.92</f>
        <v>2212.92</v>
      </c>
      <c r="I37" s="11">
        <f>1210+2792.39</f>
        <v>4002.39</v>
      </c>
      <c r="J37" s="11">
        <f>1052+2427.59</f>
        <v>3479.59</v>
      </c>
      <c r="K37" s="11">
        <f>1103+2545.37</f>
        <v>3648.37</v>
      </c>
      <c r="L37" s="11">
        <f>1054+2432.48</f>
        <v>3486.48</v>
      </c>
      <c r="M37" s="11">
        <f>1101+2542.17</f>
        <v>3643.17</v>
      </c>
      <c r="N37" s="11">
        <f t="shared" si="17"/>
        <v>32300.260000000002</v>
      </c>
    </row>
    <row r="38" spans="1:14" ht="24.75" customHeight="1" thickBot="1" x14ac:dyDescent="0.3">
      <c r="A38" s="4" t="s">
        <v>24</v>
      </c>
      <c r="B38" s="11">
        <v>900</v>
      </c>
      <c r="C38" s="11">
        <v>900</v>
      </c>
      <c r="D38" s="11">
        <v>900</v>
      </c>
      <c r="E38" s="11">
        <v>900</v>
      </c>
      <c r="F38" s="11">
        <v>900</v>
      </c>
      <c r="G38" s="11">
        <v>900</v>
      </c>
      <c r="H38" s="11">
        <v>900</v>
      </c>
      <c r="I38" s="11">
        <v>900</v>
      </c>
      <c r="J38" s="11">
        <v>900</v>
      </c>
      <c r="K38" s="11">
        <v>900</v>
      </c>
      <c r="L38" s="11">
        <v>900</v>
      </c>
      <c r="M38" s="11">
        <v>900</v>
      </c>
      <c r="N38" s="11">
        <f t="shared" si="17"/>
        <v>10800</v>
      </c>
    </row>
    <row r="39" spans="1:14" ht="24" customHeight="1" thickBot="1" x14ac:dyDescent="0.3">
      <c r="A39" s="4" t="s">
        <v>10</v>
      </c>
      <c r="B39" s="11">
        <f>1526.6</f>
        <v>1526.6</v>
      </c>
      <c r="C39" s="11">
        <f>1333.9+260+14730.7+1334.4+538.4</f>
        <v>18197.400000000001</v>
      </c>
      <c r="D39" s="11">
        <f>4100+770000</f>
        <v>774100</v>
      </c>
      <c r="E39" s="11">
        <f>2606.2</f>
        <v>2606.1999999999998</v>
      </c>
      <c r="F39" s="11">
        <f>6466.5</f>
        <v>6466.5</v>
      </c>
      <c r="G39" s="11">
        <v>0</v>
      </c>
      <c r="H39" s="11">
        <f>6946.3</f>
        <v>6946.3</v>
      </c>
      <c r="I39" s="11">
        <v>0</v>
      </c>
      <c r="J39" s="11">
        <f>1343.6</f>
        <v>1343.6</v>
      </c>
      <c r="K39" s="11">
        <f>105+4362.2+20000+9350</f>
        <v>33817.199999999997</v>
      </c>
      <c r="L39" s="11">
        <f>500+2000+3898.6</f>
        <v>6398.6</v>
      </c>
      <c r="M39" s="11">
        <f>2000+2000+1305+105</f>
        <v>5410</v>
      </c>
      <c r="N39" s="11">
        <f t="shared" si="17"/>
        <v>856812.39999999991</v>
      </c>
    </row>
    <row r="40" spans="1:14" ht="22.5" customHeight="1" thickBot="1" x14ac:dyDescent="0.3">
      <c r="A40" s="9" t="s">
        <v>22</v>
      </c>
      <c r="B40" s="10">
        <f t="shared" ref="B40:M40" si="22">SUM(B24:B39)</f>
        <v>87282.382500000007</v>
      </c>
      <c r="C40" s="10">
        <f t="shared" si="22"/>
        <v>103793.67976</v>
      </c>
      <c r="D40" s="10">
        <f t="shared" si="22"/>
        <v>861873.57139000006</v>
      </c>
      <c r="E40" s="10">
        <f t="shared" si="22"/>
        <v>93503.365890000001</v>
      </c>
      <c r="F40" s="10">
        <f t="shared" si="22"/>
        <v>91131.342470000003</v>
      </c>
      <c r="G40" s="10">
        <f t="shared" si="22"/>
        <v>97141.649379999988</v>
      </c>
      <c r="H40" s="10">
        <f t="shared" si="22"/>
        <v>109311.80959999999</v>
      </c>
      <c r="I40" s="10">
        <f t="shared" si="22"/>
        <v>87668.568839999993</v>
      </c>
      <c r="J40" s="10">
        <f t="shared" si="22"/>
        <v>97751.123209999991</v>
      </c>
      <c r="K40" s="10">
        <f t="shared" si="22"/>
        <v>122104.47540999998</v>
      </c>
      <c r="L40" s="10">
        <f t="shared" si="22"/>
        <v>95852.121629999994</v>
      </c>
      <c r="M40" s="10">
        <f t="shared" si="22"/>
        <v>96164.757979999995</v>
      </c>
      <c r="N40" s="10">
        <f>SUM(B40:M40)</f>
        <v>1943578.84806</v>
      </c>
    </row>
    <row r="41" spans="1:14" ht="23.25" customHeight="1" thickBot="1" x14ac:dyDescent="0.3">
      <c r="A41" s="4" t="s">
        <v>5</v>
      </c>
      <c r="B41" s="18">
        <f t="shared" ref="B41:N41" si="23">B15-B40</f>
        <v>37534.727499999994</v>
      </c>
      <c r="C41" s="18">
        <f t="shared" si="23"/>
        <v>24127.710240000029</v>
      </c>
      <c r="D41" s="18">
        <f t="shared" si="23"/>
        <v>-726488.29139000003</v>
      </c>
      <c r="E41" s="18">
        <f t="shared" si="23"/>
        <v>36451.764109999989</v>
      </c>
      <c r="F41" s="18">
        <f t="shared" si="23"/>
        <v>52491.167530000006</v>
      </c>
      <c r="G41" s="18">
        <f t="shared" si="23"/>
        <v>27256.650620000015</v>
      </c>
      <c r="H41" s="18">
        <f t="shared" si="23"/>
        <v>45826.810400000002</v>
      </c>
      <c r="I41" s="18">
        <f t="shared" si="23"/>
        <v>49525.62116000001</v>
      </c>
      <c r="J41" s="18">
        <f t="shared" si="23"/>
        <v>40962.166790000017</v>
      </c>
      <c r="K41" s="18">
        <f t="shared" si="23"/>
        <v>1268.454590000023</v>
      </c>
      <c r="L41" s="18">
        <f t="shared" si="23"/>
        <v>42366.868369999997</v>
      </c>
      <c r="M41" s="18">
        <f t="shared" si="23"/>
        <v>61590.222019999987</v>
      </c>
      <c r="N41" s="11">
        <f t="shared" si="23"/>
        <v>-307086.12806000002</v>
      </c>
    </row>
    <row r="42" spans="1:14" ht="23.25" customHeight="1" thickBot="1" x14ac:dyDescent="0.3">
      <c r="A42" s="4" t="s">
        <v>7</v>
      </c>
      <c r="B42" s="14">
        <f t="shared" ref="B42:N42" si="24">B5+B41</f>
        <v>257440.46749999997</v>
      </c>
      <c r="C42" s="14">
        <f t="shared" si="24"/>
        <v>281568.17774000001</v>
      </c>
      <c r="D42" s="14">
        <f t="shared" si="24"/>
        <v>-444920.11365000001</v>
      </c>
      <c r="E42" s="14">
        <f t="shared" si="24"/>
        <v>-408468.34954000002</v>
      </c>
      <c r="F42" s="14">
        <f t="shared" si="24"/>
        <v>-355977.18200999999</v>
      </c>
      <c r="G42" s="14">
        <f t="shared" si="24"/>
        <v>-328720.53138999996</v>
      </c>
      <c r="H42" s="14">
        <f t="shared" si="24"/>
        <v>-282893.72098999994</v>
      </c>
      <c r="I42" s="14">
        <f t="shared" si="24"/>
        <v>-233368.09982999993</v>
      </c>
      <c r="J42" s="14">
        <f t="shared" si="24"/>
        <v>-192405.93303999992</v>
      </c>
      <c r="K42" s="14">
        <f t="shared" si="24"/>
        <v>-191137.47844999988</v>
      </c>
      <c r="L42" s="14">
        <f t="shared" si="24"/>
        <v>-148770.6100799999</v>
      </c>
      <c r="M42" s="14">
        <f t="shared" si="24"/>
        <v>-87180.38805999991</v>
      </c>
      <c r="N42" s="14">
        <f t="shared" si="24"/>
        <v>-87180.388060000027</v>
      </c>
    </row>
    <row r="43" spans="1:14" ht="23.25" customHeight="1" thickBot="1" x14ac:dyDescent="0.3">
      <c r="A43" s="4" t="s">
        <v>45</v>
      </c>
      <c r="B43" s="11">
        <v>0</v>
      </c>
      <c r="C43" s="11">
        <v>0</v>
      </c>
      <c r="D43" s="11">
        <v>0</v>
      </c>
      <c r="E43" s="11">
        <v>0</v>
      </c>
      <c r="F43" s="11">
        <v>0</v>
      </c>
      <c r="G43" s="11">
        <v>0</v>
      </c>
      <c r="H43" s="11">
        <v>0</v>
      </c>
      <c r="I43" s="11">
        <v>0</v>
      </c>
      <c r="J43" s="11">
        <v>0</v>
      </c>
      <c r="K43" s="11">
        <v>0</v>
      </c>
      <c r="L43" s="11">
        <v>12550.71</v>
      </c>
      <c r="M43" s="11">
        <v>0</v>
      </c>
      <c r="N43" s="11">
        <f>SUM(B43:M43)</f>
        <v>12550.71</v>
      </c>
    </row>
    <row r="44" spans="1:14" ht="27" customHeight="1" thickBot="1" x14ac:dyDescent="0.3">
      <c r="A44" s="15" t="s">
        <v>11</v>
      </c>
      <c r="B44" s="19">
        <f>B6+B15-B7</f>
        <v>-254529</v>
      </c>
      <c r="C44" s="19">
        <f t="shared" ref="C44:N44" si="25">C6+C15-C7</f>
        <v>-264008.82999999996</v>
      </c>
      <c r="D44" s="19">
        <f t="shared" si="25"/>
        <v>-260353.67999999996</v>
      </c>
      <c r="E44" s="19">
        <f t="shared" si="25"/>
        <v>-264041.68</v>
      </c>
      <c r="F44" s="19">
        <f t="shared" si="25"/>
        <v>-256402.95999999996</v>
      </c>
      <c r="G44" s="19">
        <f t="shared" si="25"/>
        <v>-264617.71999999997</v>
      </c>
      <c r="H44" s="19">
        <f t="shared" si="25"/>
        <v>-255516.09999999998</v>
      </c>
      <c r="I44" s="19">
        <f t="shared" si="25"/>
        <v>-260355.08999999997</v>
      </c>
      <c r="J44" s="19">
        <f t="shared" si="25"/>
        <v>-254324.16999999995</v>
      </c>
      <c r="K44" s="19">
        <f t="shared" si="25"/>
        <v>-273744.60999999993</v>
      </c>
      <c r="L44" s="19">
        <f>L6-L7+L15+L43</f>
        <v>-257146.71999999994</v>
      </c>
      <c r="M44" s="19">
        <f t="shared" ref="M44:N44" si="26">M6-M7+M15+M43</f>
        <v>-231988.19999999995</v>
      </c>
      <c r="N44" s="19">
        <f t="shared" si="26"/>
        <v>-231988.19999999992</v>
      </c>
    </row>
  </sheetData>
  <mergeCells count="1">
    <mergeCell ref="A1:N1"/>
  </mergeCells>
  <phoneticPr fontId="3" type="noConversion"/>
  <pageMargins left="0.19685039370078741" right="0.19685039370078741" top="0.19685039370078741" bottom="0.19685039370078741" header="0.51181102362204722" footer="0.51181102362204722"/>
  <pageSetup paperSize="9" scale="5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2025-03-05T08:27:55Z</cp:lastPrinted>
  <dcterms:created xsi:type="dcterms:W3CDTF">2011-06-06T03:25:48Z</dcterms:created>
  <dcterms:modified xsi:type="dcterms:W3CDTF">2025-03-05T08:41:54Z</dcterms:modified>
</cp:coreProperties>
</file>