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56" windowWidth="16152" windowHeight="10932"/>
  </bookViews>
  <sheets>
    <sheet name="2024" sheetId="1" r:id="rId1"/>
  </sheets>
  <calcPr calcId="144525" refMode="R1C1"/>
</workbook>
</file>

<file path=xl/calcChain.xml><?xml version="1.0" encoding="utf-8"?>
<calcChain xmlns="http://schemas.openxmlformats.org/spreadsheetml/2006/main">
  <c r="M42" i="1" l="1"/>
  <c r="N42" i="1"/>
  <c r="L42" i="1"/>
  <c r="L37" i="1" l="1"/>
  <c r="K37" i="1" l="1"/>
  <c r="M35" i="1" l="1"/>
  <c r="L35" i="1"/>
  <c r="K35" i="1"/>
  <c r="M27" i="1" l="1"/>
  <c r="M26" i="1"/>
  <c r="L27" i="1" l="1"/>
  <c r="L26" i="1"/>
  <c r="N41" i="1"/>
  <c r="K27" i="1" l="1"/>
  <c r="K26" i="1"/>
  <c r="K33" i="1" l="1"/>
  <c r="L33" i="1"/>
  <c r="M33" i="1"/>
  <c r="K28" i="1"/>
  <c r="L28" i="1"/>
  <c r="M28" i="1"/>
  <c r="K25" i="1"/>
  <c r="L25" i="1"/>
  <c r="M25" i="1"/>
  <c r="K24" i="1"/>
  <c r="L24" i="1"/>
  <c r="M24" i="1"/>
  <c r="I37" i="1" l="1"/>
  <c r="J35" i="1" l="1"/>
  <c r="I35" i="1"/>
  <c r="H35" i="1"/>
  <c r="J27" i="1" l="1"/>
  <c r="J26" i="1"/>
  <c r="I27" i="1" l="1"/>
  <c r="I26" i="1"/>
  <c r="I8" i="1"/>
  <c r="H27" i="1" l="1"/>
  <c r="H26" i="1"/>
  <c r="H8" i="1"/>
  <c r="H33" i="1" l="1"/>
  <c r="I33" i="1"/>
  <c r="J33" i="1"/>
  <c r="H28" i="1"/>
  <c r="I28" i="1"/>
  <c r="J28" i="1"/>
  <c r="H25" i="1"/>
  <c r="I25" i="1"/>
  <c r="J25" i="1"/>
  <c r="H24" i="1"/>
  <c r="I24" i="1"/>
  <c r="J24" i="1"/>
  <c r="G35" i="1" l="1"/>
  <c r="F35" i="1"/>
  <c r="E35" i="1"/>
  <c r="G27" i="1" l="1"/>
  <c r="G26" i="1"/>
  <c r="F27" i="1" l="1"/>
  <c r="F26" i="1"/>
  <c r="E27" i="1" l="1"/>
  <c r="E26" i="1"/>
  <c r="E37" i="1" l="1"/>
  <c r="G33" i="1" l="1"/>
  <c r="E33" i="1"/>
  <c r="F33" i="1"/>
  <c r="E28" i="1"/>
  <c r="F28" i="1"/>
  <c r="G28" i="1"/>
  <c r="D27" i="1"/>
  <c r="E25" i="1"/>
  <c r="F25" i="1"/>
  <c r="G25" i="1"/>
  <c r="E24" i="1"/>
  <c r="F24" i="1"/>
  <c r="G24" i="1"/>
  <c r="D35" i="1" l="1"/>
  <c r="C35" i="1"/>
  <c r="N35" i="1" l="1"/>
  <c r="D26" i="1" l="1"/>
  <c r="C27" i="1" l="1"/>
  <c r="C26" i="1"/>
  <c r="B27" i="1" l="1"/>
  <c r="B26" i="1"/>
  <c r="C33" i="1" l="1"/>
  <c r="D33" i="1"/>
  <c r="C28" i="1"/>
  <c r="D28" i="1"/>
  <c r="C25" i="1"/>
  <c r="D25" i="1"/>
  <c r="C24" i="1"/>
  <c r="D24" i="1"/>
  <c r="B33" i="1" l="1"/>
  <c r="B28" i="1"/>
  <c r="B25" i="1"/>
  <c r="B24" i="1"/>
  <c r="N37" i="1" l="1"/>
  <c r="N36" i="1"/>
  <c r="N34" i="1"/>
  <c r="N33" i="1"/>
  <c r="N32" i="1"/>
  <c r="N31" i="1"/>
  <c r="N30" i="1"/>
  <c r="N29" i="1"/>
  <c r="N28" i="1"/>
  <c r="N27" i="1"/>
  <c r="N25" i="1"/>
  <c r="N24" i="1"/>
  <c r="N22" i="1"/>
  <c r="N21" i="1"/>
  <c r="N20" i="1"/>
  <c r="N19" i="1"/>
  <c r="N18" i="1"/>
  <c r="N17" i="1"/>
  <c r="N16" i="1"/>
  <c r="M15" i="1"/>
  <c r="L15" i="1"/>
  <c r="K15" i="1"/>
  <c r="J15" i="1"/>
  <c r="I15" i="1"/>
  <c r="H15" i="1"/>
  <c r="G15" i="1"/>
  <c r="F15" i="1"/>
  <c r="E15" i="1"/>
  <c r="D15" i="1"/>
  <c r="C15" i="1"/>
  <c r="B15" i="1"/>
  <c r="N14" i="1"/>
  <c r="N13" i="1"/>
  <c r="N12" i="1"/>
  <c r="N11" i="1"/>
  <c r="N10" i="1"/>
  <c r="N9" i="1"/>
  <c r="N8" i="1"/>
  <c r="M7" i="1"/>
  <c r="L7" i="1"/>
  <c r="K7" i="1"/>
  <c r="J7" i="1"/>
  <c r="I7" i="1"/>
  <c r="H7" i="1"/>
  <c r="G7" i="1"/>
  <c r="F7" i="1"/>
  <c r="E7" i="1"/>
  <c r="D7" i="1"/>
  <c r="C7" i="1"/>
  <c r="B7" i="1"/>
  <c r="N6" i="1"/>
  <c r="N5" i="1"/>
  <c r="G38" i="1" l="1"/>
  <c r="G39" i="1" s="1"/>
  <c r="L38" i="1"/>
  <c r="L39" i="1" s="1"/>
  <c r="K38" i="1"/>
  <c r="K39" i="1" s="1"/>
  <c r="J38" i="1"/>
  <c r="J39" i="1" s="1"/>
  <c r="C38" i="1"/>
  <c r="C39" i="1" s="1"/>
  <c r="D38" i="1"/>
  <c r="D39" i="1" s="1"/>
  <c r="N15" i="1"/>
  <c r="N7" i="1"/>
  <c r="H38" i="1"/>
  <c r="H39" i="1" s="1"/>
  <c r="I38" i="1"/>
  <c r="I39" i="1" s="1"/>
  <c r="M38" i="1"/>
  <c r="M39" i="1" s="1"/>
  <c r="N26" i="1"/>
  <c r="F38" i="1"/>
  <c r="F39" i="1" s="1"/>
  <c r="B38" i="1"/>
  <c r="B39" i="1" s="1"/>
  <c r="B40" i="1" s="1"/>
  <c r="C5" i="1" s="1"/>
  <c r="B42" i="1"/>
  <c r="C6" i="1" s="1"/>
  <c r="C42" i="1" s="1"/>
  <c r="D6" i="1" s="1"/>
  <c r="D42" i="1" s="1"/>
  <c r="E6" i="1" s="1"/>
  <c r="E42" i="1" s="1"/>
  <c r="F6" i="1" s="1"/>
  <c r="F42" i="1" s="1"/>
  <c r="E38" i="1"/>
  <c r="C40" i="1" l="1"/>
  <c r="D5" i="1" s="1"/>
  <c r="D40" i="1" s="1"/>
  <c r="E5" i="1" s="1"/>
  <c r="G6" i="1"/>
  <c r="N38" i="1"/>
  <c r="N39" i="1" s="1"/>
  <c r="N40" i="1" s="1"/>
  <c r="E39" i="1"/>
  <c r="G42" i="1" l="1"/>
  <c r="H6" i="1" s="1"/>
  <c r="H42" i="1" s="1"/>
  <c r="I6" i="1" s="1"/>
  <c r="I42" i="1" s="1"/>
  <c r="J6" i="1" s="1"/>
  <c r="J42" i="1" s="1"/>
  <c r="K6" i="1" s="1"/>
  <c r="K42" i="1" s="1"/>
  <c r="L6" i="1" s="1"/>
  <c r="M6" i="1" s="1"/>
  <c r="E40" i="1"/>
  <c r="F5" i="1" s="1"/>
  <c r="F40" i="1" s="1"/>
  <c r="G5" i="1" s="1"/>
  <c r="G40" i="1" l="1"/>
  <c r="H5" i="1" s="1"/>
  <c r="H40" i="1" s="1"/>
  <c r="I5" i="1" s="1"/>
  <c r="I40" i="1" s="1"/>
  <c r="J5" i="1" s="1"/>
  <c r="J40" i="1" s="1"/>
  <c r="K5" i="1" s="1"/>
  <c r="K40" i="1" s="1"/>
  <c r="L5" i="1" s="1"/>
  <c r="L40" i="1" s="1"/>
  <c r="M5" i="1" s="1"/>
  <c r="M40" i="1" s="1"/>
</calcChain>
</file>

<file path=xl/sharedStrings.xml><?xml version="1.0" encoding="utf-8"?>
<sst xmlns="http://schemas.openxmlformats.org/spreadsheetml/2006/main" count="53" uniqueCount="45">
  <si>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</si>
  <si>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</si>
  <si>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</si>
  <si>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</si>
  <si>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</si>
  <si>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</si>
  <si>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</si>
  <si>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</si>
  <si>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</si>
  <si>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</si>
  <si>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</si>
  <si>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</si>
  <si>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</si>
  <si>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</si>
  <si>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</si>
  <si>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</si>
  <si>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</si>
  <si>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</si>
  <si>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</si>
  <si>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</si>
  <si>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</si>
  <si>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</si>
  <si>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</si>
  <si>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</si>
  <si>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Отведение сточных вод ОИ</t>
  </si>
  <si>
    <t xml:space="preserve">Содержание жилья и текущий ремонт,  ОПУ </t>
  </si>
  <si>
    <t>Содержание жилья и текущий ремонт,  ОПУ</t>
  </si>
  <si>
    <t xml:space="preserve">Тех.обслуживание ОДПУ </t>
  </si>
  <si>
    <t>Январь 2024г.</t>
  </si>
  <si>
    <t>Февраль 2024г.</t>
  </si>
  <si>
    <t>Март 2024г.</t>
  </si>
  <si>
    <t>Апрель 2024г.</t>
  </si>
  <si>
    <t>Май 2024г.</t>
  </si>
  <si>
    <t>Июнь 2024г.</t>
  </si>
  <si>
    <t>Июль 2024г.</t>
  </si>
  <si>
    <t>Август 2024г.</t>
  </si>
  <si>
    <t>Сентябрь 2024г.</t>
  </si>
  <si>
    <t>Октябрь 2024г</t>
  </si>
  <si>
    <t>Ноябрь 2024г</t>
  </si>
  <si>
    <t>Декабрь 2024г</t>
  </si>
  <si>
    <t>Всего:                       за  2024г.</t>
  </si>
  <si>
    <t>Вознаграждение совета МКД</t>
  </si>
  <si>
    <t>Налоги с вознаграждения совета МКД</t>
  </si>
  <si>
    <t xml:space="preserve">                 ОТЧЕТ по дому Приморская, 5 за период 01.01.2024г. по 31.12.2024г.</t>
  </si>
  <si>
    <t>Корректировка задолженности по решению суда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</si>
</sst>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9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sz val="10"/>
      <color rgb="FFFF0000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0" xfId="0" applyFont="1"/>
    <xf numFmtId="0" fontId="8" fillId="0" borderId="1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8" fillId="2" borderId="3" xfId="0" applyFont="1" applyFill="1" applyBorder="1" applyAlignment="1">
      <alignment vertical="top" wrapText="1"/>
    </xf>
    <xf numFmtId="164" fontId="8" fillId="2" borderId="4" xfId="0" applyNumberFormat="1" applyFont="1" applyFill="1" applyBorder="1" applyAlignment="1">
      <alignment horizontal="left" vertical="top" wrapText="1"/>
    </xf>
    <xf numFmtId="0" fontId="8" fillId="3" borderId="3" xfId="0" applyFont="1" applyFill="1" applyBorder="1" applyAlignment="1">
      <alignment vertical="top" wrapText="1"/>
    </xf>
    <xf numFmtId="164" fontId="8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8" fillId="4" borderId="3" xfId="0" applyFont="1" applyFill="1" applyBorder="1" applyAlignment="1">
      <alignment vertical="top" wrapText="1"/>
    </xf>
    <xf numFmtId="164" fontId="8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8" fillId="0" borderId="3" xfId="0" applyFont="1" applyBorder="1" applyAlignment="1">
      <alignment vertical="top" wrapText="1"/>
    </xf>
    <xf numFmtId="164" fontId="8" fillId="0" borderId="5" xfId="0" applyNumberFormat="1" applyFont="1" applyBorder="1" applyAlignment="1">
      <alignment horizontal="left" vertical="top" wrapText="1"/>
    </xf>
    <xf numFmtId="164" fontId="8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8" fillId="0" borderId="4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abSelected="1" topLeftCell="C34" zoomScale="75" workbookViewId="0">
      <selection activeCell="M46" sqref="M46"/>
    </sheetView>
  </sheetViews>
  <sheetFormatPr defaultRowHeight="13.2" x14ac:dyDescent="0.25"/>
  <cols>
    <col min="1" max="1" width="58.6640625" customWidth="1"/>
    <col min="2" max="2" width="13.77734375" customWidth="1"/>
    <col min="3" max="3" width="13.44140625" customWidth="1"/>
    <col min="4" max="4" width="13.6640625" customWidth="1"/>
    <col min="5" max="5" width="13.88671875" customWidth="1"/>
    <col min="6" max="6" width="13.33203125" customWidth="1"/>
    <col min="7" max="7" width="14" customWidth="1"/>
    <col min="8" max="8" width="13.88671875" customWidth="1"/>
    <col min="9" max="9" width="15.21875" customWidth="1"/>
    <col min="10" max="10" width="13.77734375" customWidth="1"/>
    <col min="11" max="11" width="16.5546875" customWidth="1"/>
    <col min="12" max="12" width="15.21875" customWidth="1"/>
    <col min="13" max="13" width="16.109375" customWidth="1"/>
    <col min="14" max="14" width="13.77734375" bestFit="1" customWidth="1"/>
    <col min="17" max="17" width="12.88671875" bestFit="1" customWidth="1"/>
  </cols>
  <sheetData>
    <row r="1" spans="1:18" ht="20.25" customHeight="1" x14ac:dyDescent="0.35">
      <c r="A1" s="21" t="s">
        <v>43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6" t="s">
        <v>0</v>
      </c>
      <c r="B4" s="7" t="s">
        <v>28</v>
      </c>
      <c r="C4" s="7" t="s">
        <v>29</v>
      </c>
      <c r="D4" s="7" t="s">
        <v>30</v>
      </c>
      <c r="E4" s="7" t="s">
        <v>31</v>
      </c>
      <c r="F4" s="7" t="s">
        <v>32</v>
      </c>
      <c r="G4" s="7" t="s">
        <v>33</v>
      </c>
      <c r="H4" s="7" t="s">
        <v>34</v>
      </c>
      <c r="I4" s="7" t="s">
        <v>35</v>
      </c>
      <c r="J4" s="7" t="s">
        <v>36</v>
      </c>
      <c r="K4" s="7" t="s">
        <v>37</v>
      </c>
      <c r="L4" s="7" t="s">
        <v>38</v>
      </c>
      <c r="M4" s="7" t="s">
        <v>39</v>
      </c>
      <c r="N4" s="7" t="s">
        <v>40</v>
      </c>
    </row>
    <row r="5" spans="1:18" ht="23.25" customHeight="1" thickBot="1" x14ac:dyDescent="0.3">
      <c r="A5" s="8" t="s">
        <v>15</v>
      </c>
      <c r="B5" s="9">
        <v>91949.88</v>
      </c>
      <c r="C5" s="9">
        <f t="shared" ref="C5:M5" si="0">B40</f>
        <v>92057.444199999998</v>
      </c>
      <c r="D5" s="9">
        <f t="shared" si="0"/>
        <v>90934.896260000009</v>
      </c>
      <c r="E5" s="9">
        <f t="shared" si="0"/>
        <v>93331.333490000019</v>
      </c>
      <c r="F5" s="9">
        <f t="shared" si="0"/>
        <v>81992.960510000034</v>
      </c>
      <c r="G5" s="9">
        <f t="shared" si="0"/>
        <v>90137.721630000044</v>
      </c>
      <c r="H5" s="9">
        <f t="shared" si="0"/>
        <v>81064.980780000042</v>
      </c>
      <c r="I5" s="9">
        <f t="shared" si="0"/>
        <v>87459.027630000055</v>
      </c>
      <c r="J5" s="9">
        <f t="shared" si="0"/>
        <v>100996.83294000005</v>
      </c>
      <c r="K5" s="9">
        <f t="shared" si="0"/>
        <v>105185.74486000006</v>
      </c>
      <c r="L5" s="9">
        <f t="shared" si="0"/>
        <v>36290.662750000061</v>
      </c>
      <c r="M5" s="9">
        <f t="shared" si="0"/>
        <v>37304.145630000065</v>
      </c>
      <c r="N5" s="9">
        <f>B5</f>
        <v>91949.88</v>
      </c>
    </row>
    <row r="6" spans="1:18" ht="21" customHeight="1" thickBot="1" x14ac:dyDescent="0.3">
      <c r="A6" s="8" t="s">
        <v>13</v>
      </c>
      <c r="B6" s="9">
        <v>-102572.55</v>
      </c>
      <c r="C6" s="9">
        <f t="shared" ref="C6:J6" si="1">B42</f>
        <v>-107625.79000000001</v>
      </c>
      <c r="D6" s="9">
        <f t="shared" si="1"/>
        <v>-115224.86000000002</v>
      </c>
      <c r="E6" s="9">
        <f t="shared" si="1"/>
        <v>-111377.24</v>
      </c>
      <c r="F6" s="9">
        <f t="shared" si="1"/>
        <v>-111402.75</v>
      </c>
      <c r="G6" s="9">
        <f t="shared" si="1"/>
        <v>-106642.44999999998</v>
      </c>
      <c r="H6" s="9">
        <f t="shared" si="1"/>
        <v>-112094.59</v>
      </c>
      <c r="I6" s="9">
        <f t="shared" si="1"/>
        <v>-128966.33</v>
      </c>
      <c r="J6" s="9">
        <f t="shared" si="1"/>
        <v>-123117.53000000001</v>
      </c>
      <c r="K6" s="9">
        <f t="shared" ref="K6" si="2">J42</f>
        <v>-123484.09</v>
      </c>
      <c r="L6" s="9">
        <f t="shared" ref="L6" si="3">K42</f>
        <v>-123113.47</v>
      </c>
      <c r="M6" s="9">
        <f t="shared" ref="M6" si="4">L42</f>
        <v>-91871.12</v>
      </c>
      <c r="N6" s="9">
        <f>B6</f>
        <v>-102572.55</v>
      </c>
    </row>
    <row r="7" spans="1:18" ht="20.25" customHeight="1" thickBot="1" x14ac:dyDescent="0.3">
      <c r="A7" s="10" t="s">
        <v>12</v>
      </c>
      <c r="B7" s="11">
        <f>SUM(B8:B14)</f>
        <v>37480</v>
      </c>
      <c r="C7" s="11">
        <f>SUM(C8:C14)</f>
        <v>38687.68</v>
      </c>
      <c r="D7" s="11">
        <f>SUM(D8:D14)</f>
        <v>35238.89</v>
      </c>
      <c r="E7" s="11">
        <f t="shared" ref="E7:M7" si="5">SUM(E8:E14)</f>
        <v>40185.760000000002</v>
      </c>
      <c r="F7" s="11">
        <f t="shared" si="5"/>
        <v>37562.959999999999</v>
      </c>
      <c r="G7" s="11">
        <f t="shared" si="5"/>
        <v>45298.85</v>
      </c>
      <c r="H7" s="11">
        <f t="shared" si="5"/>
        <v>58673.95</v>
      </c>
      <c r="I7" s="11">
        <f t="shared" si="5"/>
        <v>45932.729999999996</v>
      </c>
      <c r="J7" s="11">
        <f t="shared" si="5"/>
        <v>45506.959999999992</v>
      </c>
      <c r="K7" s="11">
        <f t="shared" si="5"/>
        <v>49914.669999999991</v>
      </c>
      <c r="L7" s="11">
        <f t="shared" si="5"/>
        <v>48619.139999999992</v>
      </c>
      <c r="M7" s="11">
        <f t="shared" si="5"/>
        <v>45653.67</v>
      </c>
      <c r="N7" s="11">
        <f>SUM(B7:M7)</f>
        <v>528755.25999999989</v>
      </c>
    </row>
    <row r="8" spans="1:18" ht="24.75" customHeight="1" thickBot="1" x14ac:dyDescent="0.3">
      <c r="A8" s="4" t="s">
        <v>25</v>
      </c>
      <c r="B8" s="12">
        <v>30315.48</v>
      </c>
      <c r="C8" s="12">
        <v>30315.48</v>
      </c>
      <c r="D8" s="12">
        <v>30315.48</v>
      </c>
      <c r="E8" s="12">
        <v>30315.48</v>
      </c>
      <c r="F8" s="12">
        <v>30315.48</v>
      </c>
      <c r="G8" s="12">
        <v>36922.699999999997</v>
      </c>
      <c r="H8" s="12">
        <f>36922.7</f>
        <v>36922.699999999997</v>
      </c>
      <c r="I8" s="12">
        <f>36682.02+97.79</f>
        <v>36779.81</v>
      </c>
      <c r="J8" s="12">
        <v>36922.699999999997</v>
      </c>
      <c r="K8" s="12">
        <v>36922.699999999997</v>
      </c>
      <c r="L8" s="12">
        <v>36922.699999999997</v>
      </c>
      <c r="M8" s="12">
        <v>36922.699999999997</v>
      </c>
      <c r="N8" s="12">
        <f>SUM(B8:M8)</f>
        <v>409893.41000000003</v>
      </c>
    </row>
    <row r="9" spans="1:18" ht="24.75" customHeight="1" thickBot="1" x14ac:dyDescent="0.3">
      <c r="A9" s="4" t="s">
        <v>16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10714.65</v>
      </c>
      <c r="I9" s="12">
        <v>1380.32</v>
      </c>
      <c r="J9" s="12">
        <v>1432.02</v>
      </c>
      <c r="K9" s="12">
        <v>1432.02</v>
      </c>
      <c r="L9" s="12">
        <v>1432.02</v>
      </c>
      <c r="M9" s="12">
        <v>1432.02</v>
      </c>
      <c r="N9" s="12">
        <f t="shared" ref="N9:N14" si="6">SUM(B9:M9)</f>
        <v>17823.05</v>
      </c>
    </row>
    <row r="10" spans="1:18" ht="21.75" customHeight="1" thickBot="1" x14ac:dyDescent="0.3">
      <c r="A10" s="4" t="s">
        <v>17</v>
      </c>
      <c r="B10" s="12">
        <v>489.91</v>
      </c>
      <c r="C10" s="12">
        <v>489.91</v>
      </c>
      <c r="D10" s="12">
        <v>489.82</v>
      </c>
      <c r="E10" s="12">
        <v>489.82</v>
      </c>
      <c r="F10" s="12">
        <v>489.82</v>
      </c>
      <c r="G10" s="12">
        <v>489.82</v>
      </c>
      <c r="H10" s="12">
        <v>541.25</v>
      </c>
      <c r="I10" s="12">
        <v>540.96</v>
      </c>
      <c r="J10" s="12">
        <v>541.25</v>
      </c>
      <c r="K10" s="12">
        <v>541.25</v>
      </c>
      <c r="L10" s="12">
        <v>541.25</v>
      </c>
      <c r="M10" s="12">
        <v>541.25</v>
      </c>
      <c r="N10" s="12">
        <f t="shared" si="6"/>
        <v>6186.31</v>
      </c>
    </row>
    <row r="11" spans="1:18" ht="22.5" customHeight="1" thickBot="1" x14ac:dyDescent="0.3">
      <c r="A11" s="4" t="s">
        <v>18</v>
      </c>
      <c r="B11" s="12">
        <v>2307.39</v>
      </c>
      <c r="C11" s="12">
        <v>3515.07</v>
      </c>
      <c r="D11" s="12">
        <v>66.37</v>
      </c>
      <c r="E11" s="12">
        <v>5013.24</v>
      </c>
      <c r="F11" s="12">
        <v>2390.44</v>
      </c>
      <c r="G11" s="12">
        <v>1398.55</v>
      </c>
      <c r="H11" s="12">
        <v>3934.15</v>
      </c>
      <c r="I11" s="12">
        <v>938.76</v>
      </c>
      <c r="J11" s="12">
        <v>49.79</v>
      </c>
      <c r="K11" s="12">
        <v>4457.5</v>
      </c>
      <c r="L11" s="12">
        <v>3161.97</v>
      </c>
      <c r="M11" s="12">
        <v>2745.19</v>
      </c>
      <c r="N11" s="12">
        <f t="shared" si="6"/>
        <v>29978.42</v>
      </c>
    </row>
    <row r="12" spans="1:18" ht="22.5" customHeight="1" thickBot="1" x14ac:dyDescent="0.3">
      <c r="A12" s="4" t="s">
        <v>24</v>
      </c>
      <c r="B12" s="12">
        <v>472.5</v>
      </c>
      <c r="C12" s="12">
        <v>472.5</v>
      </c>
      <c r="D12" s="12">
        <v>472.5</v>
      </c>
      <c r="E12" s="12">
        <v>472.5</v>
      </c>
      <c r="F12" s="12">
        <v>472.5</v>
      </c>
      <c r="G12" s="12">
        <v>472.5</v>
      </c>
      <c r="H12" s="12">
        <v>545.91999999999996</v>
      </c>
      <c r="I12" s="12">
        <v>540.64</v>
      </c>
      <c r="J12" s="12">
        <v>545.91999999999996</v>
      </c>
      <c r="K12" s="12">
        <v>545.91999999999996</v>
      </c>
      <c r="L12" s="12">
        <v>545.91999999999996</v>
      </c>
      <c r="M12" s="12">
        <v>-2002.77</v>
      </c>
      <c r="N12" s="12">
        <f t="shared" si="6"/>
        <v>3556.5499999999997</v>
      </c>
    </row>
    <row r="13" spans="1:18" ht="22.5" customHeight="1" thickBot="1" x14ac:dyDescent="0.3">
      <c r="A13" s="4" t="s">
        <v>41</v>
      </c>
      <c r="B13" s="12">
        <v>3294.72</v>
      </c>
      <c r="C13" s="12">
        <v>3294.72</v>
      </c>
      <c r="D13" s="12">
        <v>3294.72</v>
      </c>
      <c r="E13" s="12">
        <v>3294.72</v>
      </c>
      <c r="F13" s="12">
        <v>3294.72</v>
      </c>
      <c r="G13" s="12">
        <v>5415.28</v>
      </c>
      <c r="H13" s="12">
        <v>5415.28</v>
      </c>
      <c r="I13" s="12">
        <v>5152.24</v>
      </c>
      <c r="J13" s="12">
        <v>5415.28</v>
      </c>
      <c r="K13" s="12">
        <v>5415.28</v>
      </c>
      <c r="L13" s="12">
        <v>5415.28</v>
      </c>
      <c r="M13" s="12">
        <v>5415.28</v>
      </c>
      <c r="N13" s="12">
        <f t="shared" si="6"/>
        <v>54117.51999999999</v>
      </c>
    </row>
    <row r="14" spans="1:18" ht="24" customHeight="1" thickBot="1" x14ac:dyDescent="0.3">
      <c r="A14" s="4" t="s">
        <v>14</v>
      </c>
      <c r="B14" s="12">
        <v>600</v>
      </c>
      <c r="C14" s="12">
        <v>600</v>
      </c>
      <c r="D14" s="12">
        <v>600</v>
      </c>
      <c r="E14" s="12">
        <v>600</v>
      </c>
      <c r="F14" s="12">
        <v>600</v>
      </c>
      <c r="G14" s="12">
        <v>600</v>
      </c>
      <c r="H14" s="12">
        <v>600</v>
      </c>
      <c r="I14" s="12">
        <v>600</v>
      </c>
      <c r="J14" s="12">
        <v>600</v>
      </c>
      <c r="K14" s="12">
        <v>600</v>
      </c>
      <c r="L14" s="12">
        <v>600</v>
      </c>
      <c r="M14" s="12">
        <v>600</v>
      </c>
      <c r="N14" s="12">
        <f t="shared" si="6"/>
        <v>7200</v>
      </c>
    </row>
    <row r="15" spans="1:18" ht="20.25" customHeight="1" thickBot="1" x14ac:dyDescent="0.3">
      <c r="A15" s="13" t="s">
        <v>8</v>
      </c>
      <c r="B15" s="14">
        <f>SUM(B16:B22)</f>
        <v>32426.76</v>
      </c>
      <c r="C15" s="14">
        <f>SUM(C16:C22)</f>
        <v>31088.610000000004</v>
      </c>
      <c r="D15" s="14">
        <f>SUM(D16:D22)</f>
        <v>39086.51</v>
      </c>
      <c r="E15" s="14">
        <f t="shared" ref="E15:M15" si="7">SUM(E16:E22)</f>
        <v>40160.250000000007</v>
      </c>
      <c r="F15" s="14">
        <f t="shared" si="7"/>
        <v>42323.26</v>
      </c>
      <c r="G15" s="14">
        <f t="shared" si="7"/>
        <v>39846.71</v>
      </c>
      <c r="H15" s="14">
        <f t="shared" si="7"/>
        <v>41802.21</v>
      </c>
      <c r="I15" s="14">
        <f t="shared" si="7"/>
        <v>51781.529999999992</v>
      </c>
      <c r="J15" s="14">
        <f t="shared" si="7"/>
        <v>45140.4</v>
      </c>
      <c r="K15" s="14">
        <f t="shared" si="7"/>
        <v>50285.289999999994</v>
      </c>
      <c r="L15" s="14">
        <f t="shared" si="7"/>
        <v>43319.03</v>
      </c>
      <c r="M15" s="14">
        <f t="shared" si="7"/>
        <v>47685.52</v>
      </c>
      <c r="N15" s="14">
        <f>SUM(B15:M15)</f>
        <v>504946.07999999996</v>
      </c>
    </row>
    <row r="16" spans="1:18" ht="24" customHeight="1" thickBot="1" x14ac:dyDescent="0.3">
      <c r="A16" s="4" t="s">
        <v>26</v>
      </c>
      <c r="B16" s="12">
        <v>26805.81</v>
      </c>
      <c r="C16" s="12">
        <v>25222.33</v>
      </c>
      <c r="D16" s="12">
        <v>30640.03</v>
      </c>
      <c r="E16" s="12">
        <v>34234.89</v>
      </c>
      <c r="F16" s="12">
        <v>31424.18</v>
      </c>
      <c r="G16" s="12">
        <v>32157.5</v>
      </c>
      <c r="H16" s="12">
        <v>33694.559999999998</v>
      </c>
      <c r="I16" s="12">
        <v>33688.629999999997</v>
      </c>
      <c r="J16" s="12">
        <v>35683.22</v>
      </c>
      <c r="K16" s="12">
        <v>41073.599999999999</v>
      </c>
      <c r="L16" s="12">
        <v>32589.06</v>
      </c>
      <c r="M16" s="12">
        <v>37702.639999999999</v>
      </c>
      <c r="N16" s="12">
        <f>SUM(B16:M16)</f>
        <v>394916.45</v>
      </c>
    </row>
    <row r="17" spans="1:17" ht="26.25" customHeight="1" thickBot="1" x14ac:dyDescent="0.3">
      <c r="A17" s="4" t="s">
        <v>16</v>
      </c>
      <c r="B17" s="12">
        <v>68.709999999999994</v>
      </c>
      <c r="C17" s="12">
        <v>124.72</v>
      </c>
      <c r="D17" s="12">
        <v>582.27</v>
      </c>
      <c r="E17" s="12">
        <v>286.98</v>
      </c>
      <c r="F17" s="12">
        <v>967.29</v>
      </c>
      <c r="G17" s="12">
        <v>557.41999999999996</v>
      </c>
      <c r="H17" s="12">
        <v>515.57000000000005</v>
      </c>
      <c r="I17" s="12">
        <v>8683.18</v>
      </c>
      <c r="J17" s="12">
        <v>2053.69</v>
      </c>
      <c r="K17" s="12">
        <v>1820.19</v>
      </c>
      <c r="L17" s="12">
        <v>1264.8399999999999</v>
      </c>
      <c r="M17" s="12">
        <v>0</v>
      </c>
      <c r="N17" s="12">
        <f t="shared" ref="N17:N22" si="8">SUM(B17:M17)</f>
        <v>16924.86</v>
      </c>
    </row>
    <row r="18" spans="1:17" ht="26.25" customHeight="1" thickBot="1" x14ac:dyDescent="0.3">
      <c r="A18" s="4" t="s">
        <v>17</v>
      </c>
      <c r="B18" s="12">
        <v>9.43</v>
      </c>
      <c r="C18" s="12">
        <v>9.77</v>
      </c>
      <c r="D18" s="12">
        <v>13.89</v>
      </c>
      <c r="E18" s="12">
        <v>16.12</v>
      </c>
      <c r="F18" s="12">
        <v>61.1</v>
      </c>
      <c r="G18" s="12">
        <v>22.23</v>
      </c>
      <c r="H18" s="12">
        <v>20.28</v>
      </c>
      <c r="I18" s="12">
        <v>28.35</v>
      </c>
      <c r="J18" s="12">
        <v>30.89</v>
      </c>
      <c r="K18" s="12">
        <v>25.77</v>
      </c>
      <c r="L18" s="12">
        <v>25.95</v>
      </c>
      <c r="M18" s="12">
        <v>27.01</v>
      </c>
      <c r="N18" s="12">
        <f t="shared" si="8"/>
        <v>290.79000000000002</v>
      </c>
    </row>
    <row r="19" spans="1:17" ht="24" customHeight="1" thickBot="1" x14ac:dyDescent="0.3">
      <c r="A19" s="4" t="s">
        <v>18</v>
      </c>
      <c r="B19" s="12">
        <v>1488.94</v>
      </c>
      <c r="C19" s="12">
        <v>2013.25</v>
      </c>
      <c r="D19" s="12">
        <v>3340.1</v>
      </c>
      <c r="E19" s="12">
        <v>811.5</v>
      </c>
      <c r="F19" s="12">
        <v>4689.26</v>
      </c>
      <c r="G19" s="12">
        <v>2613.86</v>
      </c>
      <c r="H19" s="12">
        <v>1515.85</v>
      </c>
      <c r="I19" s="12">
        <v>3299.95</v>
      </c>
      <c r="J19" s="12">
        <v>1178.49</v>
      </c>
      <c r="K19" s="12">
        <v>445.31</v>
      </c>
      <c r="L19" s="12">
        <v>3774.98</v>
      </c>
      <c r="M19" s="12">
        <v>3309.03</v>
      </c>
      <c r="N19" s="12">
        <f t="shared" si="8"/>
        <v>28480.52</v>
      </c>
      <c r="Q19" s="5"/>
    </row>
    <row r="20" spans="1:17" ht="24" customHeight="1" thickBot="1" x14ac:dyDescent="0.3">
      <c r="A20" s="4" t="s">
        <v>24</v>
      </c>
      <c r="B20" s="12">
        <v>417.69</v>
      </c>
      <c r="C20" s="12">
        <v>394.06</v>
      </c>
      <c r="D20" s="12">
        <v>475.18</v>
      </c>
      <c r="E20" s="12">
        <v>533.76</v>
      </c>
      <c r="F20" s="12">
        <v>508.47</v>
      </c>
      <c r="G20" s="12">
        <v>498.37</v>
      </c>
      <c r="H20" s="12">
        <v>441.48</v>
      </c>
      <c r="I20" s="12">
        <v>492.03</v>
      </c>
      <c r="J20" s="12">
        <v>525.24</v>
      </c>
      <c r="K20" s="12">
        <v>606.03</v>
      </c>
      <c r="L20" s="12">
        <v>482.04</v>
      </c>
      <c r="M20" s="12">
        <v>526.55999999999995</v>
      </c>
      <c r="N20" s="12">
        <f t="shared" si="8"/>
        <v>5900.91</v>
      </c>
    </row>
    <row r="21" spans="1:17" ht="24" customHeight="1" thickBot="1" x14ac:dyDescent="0.3">
      <c r="A21" s="4" t="s">
        <v>41</v>
      </c>
      <c r="B21" s="12">
        <v>3036.18</v>
      </c>
      <c r="C21" s="12">
        <v>2724.48</v>
      </c>
      <c r="D21" s="12">
        <v>3435.04</v>
      </c>
      <c r="E21" s="12">
        <v>3677</v>
      </c>
      <c r="F21" s="12">
        <v>4072.96</v>
      </c>
      <c r="G21" s="12">
        <v>3397.33</v>
      </c>
      <c r="H21" s="12">
        <v>5014.47</v>
      </c>
      <c r="I21" s="12">
        <v>4989.3900000000003</v>
      </c>
      <c r="J21" s="12">
        <v>5068.87</v>
      </c>
      <c r="K21" s="12">
        <v>5714.39</v>
      </c>
      <c r="L21" s="12">
        <v>4582.16</v>
      </c>
      <c r="M21" s="12">
        <v>5520.28</v>
      </c>
      <c r="N21" s="12">
        <f t="shared" si="8"/>
        <v>51232.55</v>
      </c>
    </row>
    <row r="22" spans="1:17" ht="21" customHeight="1" thickBot="1" x14ac:dyDescent="0.3">
      <c r="A22" s="4" t="s">
        <v>14</v>
      </c>
      <c r="B22" s="15">
        <v>600</v>
      </c>
      <c r="C22" s="15">
        <v>600</v>
      </c>
      <c r="D22" s="15">
        <v>600</v>
      </c>
      <c r="E22" s="15">
        <v>600</v>
      </c>
      <c r="F22" s="15">
        <v>600</v>
      </c>
      <c r="G22" s="15">
        <v>600</v>
      </c>
      <c r="H22" s="15">
        <v>600</v>
      </c>
      <c r="I22" s="15">
        <v>600</v>
      </c>
      <c r="J22" s="15">
        <v>600</v>
      </c>
      <c r="K22" s="15">
        <v>600</v>
      </c>
      <c r="L22" s="15">
        <v>600</v>
      </c>
      <c r="M22" s="15">
        <v>600</v>
      </c>
      <c r="N22" s="12">
        <f t="shared" si="8"/>
        <v>7200</v>
      </c>
      <c r="O22" s="3"/>
    </row>
    <row r="23" spans="1:17" ht="21.75" customHeight="1" thickBot="1" x14ac:dyDescent="0.3">
      <c r="A23" s="16" t="s">
        <v>23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8"/>
    </row>
    <row r="24" spans="1:17" ht="19.5" customHeight="1" thickBot="1" x14ac:dyDescent="0.3">
      <c r="A24" s="4" t="s">
        <v>1</v>
      </c>
      <c r="B24" s="12">
        <f t="shared" ref="B24:M24" si="9">1943.3*0.6</f>
        <v>1165.98</v>
      </c>
      <c r="C24" s="12">
        <f t="shared" si="9"/>
        <v>1165.98</v>
      </c>
      <c r="D24" s="12">
        <f t="shared" si="9"/>
        <v>1165.98</v>
      </c>
      <c r="E24" s="12">
        <f t="shared" si="9"/>
        <v>1165.98</v>
      </c>
      <c r="F24" s="12">
        <f t="shared" si="9"/>
        <v>1165.98</v>
      </c>
      <c r="G24" s="12">
        <f t="shared" si="9"/>
        <v>1165.98</v>
      </c>
      <c r="H24" s="12">
        <f t="shared" si="9"/>
        <v>1165.98</v>
      </c>
      <c r="I24" s="12">
        <f t="shared" si="9"/>
        <v>1165.98</v>
      </c>
      <c r="J24" s="12">
        <f t="shared" si="9"/>
        <v>1165.98</v>
      </c>
      <c r="K24" s="12">
        <f t="shared" si="9"/>
        <v>1165.98</v>
      </c>
      <c r="L24" s="12">
        <f t="shared" si="9"/>
        <v>1165.98</v>
      </c>
      <c r="M24" s="12">
        <f t="shared" si="9"/>
        <v>1165.98</v>
      </c>
      <c r="N24" s="12">
        <f t="shared" ref="N24:N37" si="10">SUM(B24:M24)</f>
        <v>13991.759999999997</v>
      </c>
    </row>
    <row r="25" spans="1:17" ht="22.5" customHeight="1" thickBot="1" x14ac:dyDescent="0.3">
      <c r="A25" s="4" t="s">
        <v>2</v>
      </c>
      <c r="B25" s="12">
        <f t="shared" ref="B25:M25" si="11">1943.3*0.17</f>
        <v>330.36099999999999</v>
      </c>
      <c r="C25" s="12">
        <f t="shared" si="11"/>
        <v>330.36099999999999</v>
      </c>
      <c r="D25" s="12">
        <f t="shared" si="11"/>
        <v>330.36099999999999</v>
      </c>
      <c r="E25" s="12">
        <f t="shared" si="11"/>
        <v>330.36099999999999</v>
      </c>
      <c r="F25" s="12">
        <f t="shared" si="11"/>
        <v>330.36099999999999</v>
      </c>
      <c r="G25" s="12">
        <f t="shared" si="11"/>
        <v>330.36099999999999</v>
      </c>
      <c r="H25" s="12">
        <f t="shared" si="11"/>
        <v>330.36099999999999</v>
      </c>
      <c r="I25" s="12">
        <f t="shared" si="11"/>
        <v>330.36099999999999</v>
      </c>
      <c r="J25" s="12">
        <f t="shared" si="11"/>
        <v>330.36099999999999</v>
      </c>
      <c r="K25" s="12">
        <f t="shared" si="11"/>
        <v>330.36099999999999</v>
      </c>
      <c r="L25" s="12">
        <f t="shared" si="11"/>
        <v>330.36099999999999</v>
      </c>
      <c r="M25" s="12">
        <f t="shared" si="11"/>
        <v>330.36099999999999</v>
      </c>
      <c r="N25" s="12">
        <f t="shared" si="10"/>
        <v>3964.331999999999</v>
      </c>
    </row>
    <row r="26" spans="1:17" ht="21" customHeight="1" thickBot="1" x14ac:dyDescent="0.3">
      <c r="A26" s="4" t="s">
        <v>3</v>
      </c>
      <c r="B26" s="12">
        <f>36880*2.3%</f>
        <v>848.24</v>
      </c>
      <c r="C26" s="12">
        <f>38087.68*2.3%</f>
        <v>876.01663999999994</v>
      </c>
      <c r="D26" s="12">
        <f>34638.89*2.3%</f>
        <v>796.69447000000002</v>
      </c>
      <c r="E26" s="12">
        <f>39585.76*2.3%</f>
        <v>910.47248000000002</v>
      </c>
      <c r="F26" s="12">
        <f>36962.96*2.3%</f>
        <v>850.14807999999994</v>
      </c>
      <c r="G26" s="12">
        <f>44698.85*2.3%</f>
        <v>1028.0735499999998</v>
      </c>
      <c r="H26" s="12">
        <f>58073.95*2.3%</f>
        <v>1335.7008499999999</v>
      </c>
      <c r="I26" s="12">
        <f>45332.73*2.3%</f>
        <v>1042.6527900000001</v>
      </c>
      <c r="J26" s="12">
        <f>44906.96*2.3%</f>
        <v>1032.8600799999999</v>
      </c>
      <c r="K26" s="12">
        <f>49314.67*2.3%</f>
        <v>1134.23741</v>
      </c>
      <c r="L26" s="12">
        <f>48019.14*2.3%</f>
        <v>1104.44022</v>
      </c>
      <c r="M26" s="12">
        <f>45053.67*2.3%</f>
        <v>1036.23441</v>
      </c>
      <c r="N26" s="12">
        <f t="shared" si="10"/>
        <v>11995.770980000001</v>
      </c>
    </row>
    <row r="27" spans="1:17" ht="23.25" customHeight="1" thickBot="1" x14ac:dyDescent="0.3">
      <c r="A27" s="4" t="s">
        <v>4</v>
      </c>
      <c r="B27" s="12">
        <f>31826.76*3%</f>
        <v>954.80279999999993</v>
      </c>
      <c r="C27" s="12">
        <f>30488.61*3%</f>
        <v>914.65829999999994</v>
      </c>
      <c r="D27" s="12">
        <f>38486.51*3%</f>
        <v>1154.5953</v>
      </c>
      <c r="E27" s="12">
        <f>39560.25*3%</f>
        <v>1186.8074999999999</v>
      </c>
      <c r="F27" s="12">
        <f>41723.26*3%</f>
        <v>1251.6977999999999</v>
      </c>
      <c r="G27" s="12">
        <f>39246.71*3%</f>
        <v>1177.4013</v>
      </c>
      <c r="H27" s="12">
        <f>41202.21*3%</f>
        <v>1236.0663</v>
      </c>
      <c r="I27" s="12">
        <f>51181.53*3%</f>
        <v>1535.4458999999999</v>
      </c>
      <c r="J27" s="12">
        <f>44540.4*3%</f>
        <v>1336.212</v>
      </c>
      <c r="K27" s="12">
        <f>49685.29*3%</f>
        <v>1490.5587</v>
      </c>
      <c r="L27" s="12">
        <f>42719.03*3%</f>
        <v>1281.5708999999999</v>
      </c>
      <c r="M27" s="12">
        <f>47085.52*3%</f>
        <v>1412.5655999999999</v>
      </c>
      <c r="N27" s="12">
        <f t="shared" si="10"/>
        <v>14932.3824</v>
      </c>
    </row>
    <row r="28" spans="1:17" ht="23.25" customHeight="1" thickBot="1" x14ac:dyDescent="0.3">
      <c r="A28" s="4" t="s">
        <v>9</v>
      </c>
      <c r="B28" s="12">
        <f t="shared" ref="B28:M28" si="12">1943.3*9.7</f>
        <v>18850.009999999998</v>
      </c>
      <c r="C28" s="12">
        <f t="shared" si="12"/>
        <v>18850.009999999998</v>
      </c>
      <c r="D28" s="12">
        <f t="shared" si="12"/>
        <v>18850.009999999998</v>
      </c>
      <c r="E28" s="12">
        <f t="shared" si="12"/>
        <v>18850.009999999998</v>
      </c>
      <c r="F28" s="12">
        <f t="shared" si="12"/>
        <v>18850.009999999998</v>
      </c>
      <c r="G28" s="12">
        <f t="shared" si="12"/>
        <v>18850.009999999998</v>
      </c>
      <c r="H28" s="12">
        <f t="shared" si="12"/>
        <v>18850.009999999998</v>
      </c>
      <c r="I28" s="12">
        <f t="shared" si="12"/>
        <v>18850.009999999998</v>
      </c>
      <c r="J28" s="12">
        <f t="shared" si="12"/>
        <v>18850.009999999998</v>
      </c>
      <c r="K28" s="12">
        <f t="shared" si="12"/>
        <v>18850.009999999998</v>
      </c>
      <c r="L28" s="12">
        <f t="shared" si="12"/>
        <v>18850.009999999998</v>
      </c>
      <c r="M28" s="12">
        <f t="shared" si="12"/>
        <v>18850.009999999998</v>
      </c>
      <c r="N28" s="12">
        <f t="shared" si="10"/>
        <v>226200.12000000002</v>
      </c>
    </row>
    <row r="29" spans="1:17" ht="26.25" customHeight="1" thickBot="1" x14ac:dyDescent="0.3">
      <c r="A29" s="4" t="s">
        <v>19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10714.63</v>
      </c>
      <c r="H29" s="12">
        <v>1432.01</v>
      </c>
      <c r="I29" s="12">
        <v>1432.01</v>
      </c>
      <c r="J29" s="12">
        <v>1432.01</v>
      </c>
      <c r="K29" s="12">
        <v>1432.01</v>
      </c>
      <c r="L29" s="12">
        <v>1432.01</v>
      </c>
      <c r="M29" s="12">
        <v>1432.01</v>
      </c>
      <c r="N29" s="12">
        <f t="shared" si="10"/>
        <v>19306.689999999995</v>
      </c>
    </row>
    <row r="30" spans="1:17" ht="26.25" customHeight="1" thickBot="1" x14ac:dyDescent="0.3">
      <c r="A30" s="4" t="s">
        <v>20</v>
      </c>
      <c r="B30" s="12">
        <v>734.81</v>
      </c>
      <c r="C30" s="12">
        <v>734.81</v>
      </c>
      <c r="D30" s="12">
        <v>734.81</v>
      </c>
      <c r="E30" s="12">
        <v>734.81</v>
      </c>
      <c r="F30" s="12">
        <v>734.81</v>
      </c>
      <c r="G30" s="12">
        <v>734.81</v>
      </c>
      <c r="H30" s="12">
        <v>159.32</v>
      </c>
      <c r="I30" s="12">
        <v>811.9</v>
      </c>
      <c r="J30" s="12">
        <v>811.9</v>
      </c>
      <c r="K30" s="12">
        <v>811.9</v>
      </c>
      <c r="L30" s="12">
        <v>811.9</v>
      </c>
      <c r="M30" s="12">
        <v>811.9</v>
      </c>
      <c r="N30" s="12">
        <f t="shared" si="10"/>
        <v>8627.6799999999985</v>
      </c>
    </row>
    <row r="31" spans="1:17" ht="26.25" customHeight="1" thickBot="1" x14ac:dyDescent="0.3">
      <c r="A31" s="4" t="s">
        <v>21</v>
      </c>
      <c r="B31" s="12">
        <v>3515.05</v>
      </c>
      <c r="C31" s="12">
        <v>66.400000000000006</v>
      </c>
      <c r="D31" s="12">
        <v>5013.2</v>
      </c>
      <c r="E31" s="12">
        <v>2390.4</v>
      </c>
      <c r="F31" s="12">
        <v>1398.55</v>
      </c>
      <c r="G31" s="12">
        <v>3934.2</v>
      </c>
      <c r="H31" s="12">
        <v>955.82</v>
      </c>
      <c r="I31" s="12">
        <v>49.83</v>
      </c>
      <c r="J31" s="12">
        <v>4457.2</v>
      </c>
      <c r="K31" s="12">
        <v>3161.94</v>
      </c>
      <c r="L31" s="12">
        <v>2745.18</v>
      </c>
      <c r="M31" s="12">
        <v>9.07</v>
      </c>
      <c r="N31" s="12">
        <f t="shared" si="10"/>
        <v>27696.84</v>
      </c>
    </row>
    <row r="32" spans="1:17" ht="26.25" customHeight="1" thickBot="1" x14ac:dyDescent="0.3">
      <c r="A32" s="4" t="s">
        <v>24</v>
      </c>
      <c r="B32" s="12">
        <v>472.62</v>
      </c>
      <c r="C32" s="12">
        <v>472.62</v>
      </c>
      <c r="D32" s="12">
        <v>472.62</v>
      </c>
      <c r="E32" s="12">
        <v>472.62</v>
      </c>
      <c r="F32" s="12">
        <v>472.62</v>
      </c>
      <c r="G32" s="12">
        <v>472.62</v>
      </c>
      <c r="H32" s="12">
        <v>107.16</v>
      </c>
      <c r="I32" s="12">
        <v>107.16</v>
      </c>
      <c r="J32" s="12">
        <v>107.16</v>
      </c>
      <c r="K32" s="12">
        <v>546.1</v>
      </c>
      <c r="L32" s="12">
        <v>546.1</v>
      </c>
      <c r="M32" s="12">
        <v>546.1</v>
      </c>
      <c r="N32" s="12">
        <f t="shared" si="10"/>
        <v>4795.5</v>
      </c>
    </row>
    <row r="33" spans="1:14" ht="22.5" customHeight="1" thickBot="1" x14ac:dyDescent="0.3">
      <c r="A33" s="4" t="s">
        <v>6</v>
      </c>
      <c r="B33" s="12">
        <f t="shared" ref="B33:F33" si="13">1943.3*2.34</f>
        <v>4547.3219999999992</v>
      </c>
      <c r="C33" s="12">
        <f t="shared" si="13"/>
        <v>4547.3219999999992</v>
      </c>
      <c r="D33" s="12">
        <f t="shared" si="13"/>
        <v>4547.3219999999992</v>
      </c>
      <c r="E33" s="12">
        <f t="shared" si="13"/>
        <v>4547.3219999999992</v>
      </c>
      <c r="F33" s="12">
        <f t="shared" si="13"/>
        <v>4547.3219999999992</v>
      </c>
      <c r="G33" s="12">
        <f>1943.3*2.85</f>
        <v>5538.4049999999997</v>
      </c>
      <c r="H33" s="12">
        <f t="shared" ref="H33:M33" si="14">1943.3*2.85</f>
        <v>5538.4049999999997</v>
      </c>
      <c r="I33" s="12">
        <f t="shared" si="14"/>
        <v>5538.4049999999997</v>
      </c>
      <c r="J33" s="12">
        <f t="shared" si="14"/>
        <v>5538.4049999999997</v>
      </c>
      <c r="K33" s="12">
        <f t="shared" si="14"/>
        <v>5538.4049999999997</v>
      </c>
      <c r="L33" s="12">
        <f t="shared" si="14"/>
        <v>5538.4049999999997</v>
      </c>
      <c r="M33" s="12">
        <f t="shared" si="14"/>
        <v>5538.4049999999997</v>
      </c>
      <c r="N33" s="12">
        <f t="shared" si="10"/>
        <v>61505.444999999992</v>
      </c>
    </row>
    <row r="34" spans="1:14" ht="25.2" customHeight="1" thickBot="1" x14ac:dyDescent="0.3">
      <c r="A34" s="4" t="s">
        <v>41</v>
      </c>
      <c r="B34" s="12">
        <v>0</v>
      </c>
      <c r="C34" s="12">
        <v>1911.09</v>
      </c>
      <c r="D34" s="12">
        <v>1553.14</v>
      </c>
      <c r="E34" s="12">
        <v>1957.53</v>
      </c>
      <c r="F34" s="12">
        <v>2095.9</v>
      </c>
      <c r="G34" s="12">
        <v>2322.0700000000002</v>
      </c>
      <c r="H34" s="12">
        <v>1936.13</v>
      </c>
      <c r="I34" s="12">
        <v>2858.13</v>
      </c>
      <c r="J34" s="12">
        <v>2844.57</v>
      </c>
      <c r="K34" s="12">
        <v>2889.21</v>
      </c>
      <c r="L34" s="12">
        <v>3257.07</v>
      </c>
      <c r="M34" s="12">
        <v>2611.5100000000002</v>
      </c>
      <c r="N34" s="12">
        <f t="shared" si="10"/>
        <v>26236.35</v>
      </c>
    </row>
    <row r="35" spans="1:14" ht="25.2" customHeight="1" thickBot="1" x14ac:dyDescent="0.3">
      <c r="A35" s="4" t="s">
        <v>42</v>
      </c>
      <c r="B35" s="12">
        <v>0</v>
      </c>
      <c r="C35" s="12">
        <f>1005.89+436</f>
        <v>1441.8899999999999</v>
      </c>
      <c r="D35" s="12">
        <f>817.34+354</f>
        <v>1171.3400000000001</v>
      </c>
      <c r="E35" s="12">
        <f>447+1030.51</f>
        <v>1477.51</v>
      </c>
      <c r="F35" s="12">
        <f>478+1103.1</f>
        <v>1581.1</v>
      </c>
      <c r="G35" s="12">
        <f>529+1221.89</f>
        <v>1750.89</v>
      </c>
      <c r="H35" s="12">
        <f>442+1019.2</f>
        <v>1461.2</v>
      </c>
      <c r="I35" s="12">
        <f>652+1504.34</f>
        <v>2156.34</v>
      </c>
      <c r="J35" s="12">
        <f>648+1496.82</f>
        <v>2144.8199999999997</v>
      </c>
      <c r="K35" s="12">
        <f>659+1520.66</f>
        <v>2179.66</v>
      </c>
      <c r="L35" s="12">
        <f>743+1714.32</f>
        <v>2457.3199999999997</v>
      </c>
      <c r="M35" s="12">
        <f>596+1374.65</f>
        <v>1970.65</v>
      </c>
      <c r="N35" s="12">
        <f t="shared" si="10"/>
        <v>19792.72</v>
      </c>
    </row>
    <row r="36" spans="1:14" ht="24.75" customHeight="1" thickBot="1" x14ac:dyDescent="0.3">
      <c r="A36" s="4" t="s">
        <v>27</v>
      </c>
      <c r="B36" s="12">
        <v>900</v>
      </c>
      <c r="C36" s="12">
        <v>900</v>
      </c>
      <c r="D36" s="12">
        <v>900</v>
      </c>
      <c r="E36" s="12">
        <v>900</v>
      </c>
      <c r="F36" s="12">
        <v>900</v>
      </c>
      <c r="G36" s="12">
        <v>900</v>
      </c>
      <c r="H36" s="12">
        <v>900</v>
      </c>
      <c r="I36" s="12">
        <v>900</v>
      </c>
      <c r="J36" s="12">
        <v>900</v>
      </c>
      <c r="K36" s="12">
        <v>900</v>
      </c>
      <c r="L36" s="12">
        <v>900</v>
      </c>
      <c r="M36" s="12">
        <v>900</v>
      </c>
      <c r="N36" s="12">
        <f>SUM(B36:M36)</f>
        <v>10800</v>
      </c>
    </row>
    <row r="37" spans="1:14" ht="24" customHeight="1" thickBot="1" x14ac:dyDescent="0.3">
      <c r="A37" s="4" t="s">
        <v>10</v>
      </c>
      <c r="B37" s="12">
        <v>0</v>
      </c>
      <c r="C37" s="12">
        <v>0</v>
      </c>
      <c r="D37" s="12">
        <v>0</v>
      </c>
      <c r="E37" s="12">
        <f>16574.8</f>
        <v>16574.8</v>
      </c>
      <c r="F37" s="12">
        <v>0</v>
      </c>
      <c r="G37" s="12">
        <v>0</v>
      </c>
      <c r="H37" s="12">
        <v>0</v>
      </c>
      <c r="I37" s="12">
        <f>1465.5</f>
        <v>1465.5</v>
      </c>
      <c r="J37" s="12">
        <v>0</v>
      </c>
      <c r="K37" s="12">
        <f>78750</f>
        <v>78750</v>
      </c>
      <c r="L37" s="12">
        <f>1885.2</f>
        <v>1885.2</v>
      </c>
      <c r="M37" s="12">
        <v>0</v>
      </c>
      <c r="N37" s="12">
        <f t="shared" si="10"/>
        <v>98675.5</v>
      </c>
    </row>
    <row r="38" spans="1:14" ht="22.5" customHeight="1" thickBot="1" x14ac:dyDescent="0.3">
      <c r="A38" s="10" t="s">
        <v>22</v>
      </c>
      <c r="B38" s="11">
        <f t="shared" ref="B38:M38" si="15">SUM(B24:B37)</f>
        <v>32319.195799999998</v>
      </c>
      <c r="C38" s="11">
        <f t="shared" si="15"/>
        <v>32211.157940000001</v>
      </c>
      <c r="D38" s="11">
        <f t="shared" si="15"/>
        <v>36690.072769999999</v>
      </c>
      <c r="E38" s="11">
        <f t="shared" si="15"/>
        <v>51498.62298</v>
      </c>
      <c r="F38" s="11">
        <f t="shared" si="15"/>
        <v>34178.498879999999</v>
      </c>
      <c r="G38" s="11">
        <f t="shared" si="15"/>
        <v>48919.450849999994</v>
      </c>
      <c r="H38" s="11">
        <f t="shared" si="15"/>
        <v>35408.163149999993</v>
      </c>
      <c r="I38" s="11">
        <f t="shared" si="15"/>
        <v>38243.724690000003</v>
      </c>
      <c r="J38" s="11">
        <f t="shared" si="15"/>
        <v>40951.488079999996</v>
      </c>
      <c r="K38" s="11">
        <f t="shared" si="15"/>
        <v>119180.37211</v>
      </c>
      <c r="L38" s="11">
        <f t="shared" si="15"/>
        <v>42305.547119999996</v>
      </c>
      <c r="M38" s="11">
        <f t="shared" si="15"/>
        <v>36614.796009999998</v>
      </c>
      <c r="N38" s="11">
        <f>SUM(B38:M38)</f>
        <v>548521.09037999995</v>
      </c>
    </row>
    <row r="39" spans="1:14" ht="23.25" customHeight="1" thickBot="1" x14ac:dyDescent="0.3">
      <c r="A39" s="4" t="s">
        <v>5</v>
      </c>
      <c r="B39" s="19">
        <f t="shared" ref="B39:N39" si="16">B15-B38</f>
        <v>107.56420000000071</v>
      </c>
      <c r="C39" s="19">
        <f t="shared" si="16"/>
        <v>-1122.5479399999967</v>
      </c>
      <c r="D39" s="19">
        <f t="shared" si="16"/>
        <v>2396.4372300000032</v>
      </c>
      <c r="E39" s="19">
        <f t="shared" si="16"/>
        <v>-11338.372979999993</v>
      </c>
      <c r="F39" s="19">
        <f t="shared" si="16"/>
        <v>8144.7611200000028</v>
      </c>
      <c r="G39" s="19">
        <f t="shared" si="16"/>
        <v>-9072.7408499999947</v>
      </c>
      <c r="H39" s="19">
        <f t="shared" si="16"/>
        <v>6394.0468500000061</v>
      </c>
      <c r="I39" s="19">
        <f t="shared" si="16"/>
        <v>13537.805309999989</v>
      </c>
      <c r="J39" s="19">
        <f t="shared" si="16"/>
        <v>4188.9119200000059</v>
      </c>
      <c r="K39" s="19">
        <f t="shared" si="16"/>
        <v>-68895.082110000003</v>
      </c>
      <c r="L39" s="19">
        <f t="shared" si="16"/>
        <v>1013.4828800000032</v>
      </c>
      <c r="M39" s="19">
        <f t="shared" si="16"/>
        <v>11070.723989999999</v>
      </c>
      <c r="N39" s="12">
        <f t="shared" si="16"/>
        <v>-43575.010379999992</v>
      </c>
    </row>
    <row r="40" spans="1:14" ht="23.25" customHeight="1" thickBot="1" x14ac:dyDescent="0.3">
      <c r="A40" s="4" t="s">
        <v>7</v>
      </c>
      <c r="B40" s="15">
        <f t="shared" ref="B40:N40" si="17">B5+B39</f>
        <v>92057.444199999998</v>
      </c>
      <c r="C40" s="15">
        <f t="shared" si="17"/>
        <v>90934.896260000009</v>
      </c>
      <c r="D40" s="15">
        <f t="shared" si="17"/>
        <v>93331.333490000019</v>
      </c>
      <c r="E40" s="15">
        <f t="shared" si="17"/>
        <v>81992.960510000034</v>
      </c>
      <c r="F40" s="15">
        <f t="shared" si="17"/>
        <v>90137.721630000044</v>
      </c>
      <c r="G40" s="15">
        <f t="shared" si="17"/>
        <v>81064.980780000042</v>
      </c>
      <c r="H40" s="15">
        <f t="shared" si="17"/>
        <v>87459.027630000055</v>
      </c>
      <c r="I40" s="15">
        <f t="shared" si="17"/>
        <v>100996.83294000005</v>
      </c>
      <c r="J40" s="15">
        <f t="shared" si="17"/>
        <v>105185.74486000006</v>
      </c>
      <c r="K40" s="15">
        <f t="shared" si="17"/>
        <v>36290.662750000061</v>
      </c>
      <c r="L40" s="15">
        <f t="shared" si="17"/>
        <v>37304.145630000065</v>
      </c>
      <c r="M40" s="15">
        <f t="shared" si="17"/>
        <v>48374.869620000063</v>
      </c>
      <c r="N40" s="15">
        <f t="shared" si="17"/>
        <v>48374.869620000012</v>
      </c>
    </row>
    <row r="41" spans="1:14" ht="23.25" customHeight="1" thickBot="1" x14ac:dyDescent="0.3">
      <c r="A41" s="4" t="s">
        <v>44</v>
      </c>
      <c r="B41" s="12">
        <v>0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36542.46</v>
      </c>
      <c r="M41" s="12">
        <v>0</v>
      </c>
      <c r="N41" s="12">
        <f>SUM(B41:M41)</f>
        <v>36542.46</v>
      </c>
    </row>
    <row r="42" spans="1:14" ht="27" customHeight="1" thickBot="1" x14ac:dyDescent="0.3">
      <c r="A42" s="16" t="s">
        <v>11</v>
      </c>
      <c r="B42" s="20">
        <f>B6+B15-B7</f>
        <v>-107625.79000000001</v>
      </c>
      <c r="C42" s="20">
        <f t="shared" ref="C42:N42" si="18">C6+C15-C7</f>
        <v>-115224.86000000002</v>
      </c>
      <c r="D42" s="20">
        <f t="shared" si="18"/>
        <v>-111377.24</v>
      </c>
      <c r="E42" s="20">
        <f t="shared" si="18"/>
        <v>-111402.75</v>
      </c>
      <c r="F42" s="20">
        <f t="shared" si="18"/>
        <v>-106642.44999999998</v>
      </c>
      <c r="G42" s="20">
        <f t="shared" si="18"/>
        <v>-112094.59</v>
      </c>
      <c r="H42" s="20">
        <f t="shared" si="18"/>
        <v>-128966.33</v>
      </c>
      <c r="I42" s="20">
        <f t="shared" si="18"/>
        <v>-123117.53000000001</v>
      </c>
      <c r="J42" s="20">
        <f t="shared" si="18"/>
        <v>-123484.09</v>
      </c>
      <c r="K42" s="20">
        <f t="shared" si="18"/>
        <v>-123113.47</v>
      </c>
      <c r="L42" s="20">
        <f>L6-L7+L15+L41</f>
        <v>-91871.12</v>
      </c>
      <c r="M42" s="20">
        <f t="shared" ref="M42:N42" si="19">M6-M7+M15+M41</f>
        <v>-89839.26999999999</v>
      </c>
      <c r="N42" s="20">
        <f t="shared" si="19"/>
        <v>-89839.26999999999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2025-03-05T08:20:58Z</cp:lastPrinted>
  <dcterms:created xsi:type="dcterms:W3CDTF">2011-06-06T03:25:48Z</dcterms:created>
  <dcterms:modified xsi:type="dcterms:W3CDTF">2025-03-05T08:26:52Z</dcterms:modified>
</cp:coreProperties>
</file>