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4" sheetId="1" r:id="rId1"/>
  </sheets>
  <calcPr calcId="144525"/>
</workbook>
</file>

<file path=xl/calcChain.xml><?xml version="1.0" encoding="utf-8"?>
<calcChain xmlns="http://schemas.openxmlformats.org/spreadsheetml/2006/main">
  <c r="K37" i="1" l="1"/>
  <c r="M19" i="1" l="1"/>
  <c r="L19" i="1"/>
  <c r="M11" i="1"/>
  <c r="L11" i="1"/>
  <c r="K11" i="1"/>
  <c r="M37" i="1" l="1"/>
  <c r="L37" i="1" l="1"/>
  <c r="M35" i="1" l="1"/>
  <c r="L35" i="1"/>
  <c r="K35" i="1"/>
  <c r="J42" i="1" l="1"/>
  <c r="M27" i="1"/>
  <c r="M26" i="1"/>
  <c r="L27" i="1" l="1"/>
  <c r="L26" i="1"/>
  <c r="L12" i="1"/>
  <c r="N41" i="1"/>
  <c r="K27" i="1" l="1"/>
  <c r="K26" i="1"/>
  <c r="K33" i="1" l="1"/>
  <c r="L33" i="1"/>
  <c r="M33" i="1"/>
  <c r="K28" i="1"/>
  <c r="L28" i="1"/>
  <c r="M28" i="1"/>
  <c r="K25" i="1"/>
  <c r="L25" i="1"/>
  <c r="M25" i="1"/>
  <c r="K24" i="1"/>
  <c r="L24" i="1"/>
  <c r="M24" i="1"/>
  <c r="I26" i="1" l="1"/>
  <c r="J11" i="1" l="1"/>
  <c r="I11" i="1"/>
  <c r="H11" i="1"/>
  <c r="J37" i="1" l="1"/>
  <c r="I37" i="1" l="1"/>
  <c r="J35" i="1" l="1"/>
  <c r="I35" i="1"/>
  <c r="H35" i="1"/>
  <c r="J27" i="1" l="1"/>
  <c r="J26" i="1"/>
  <c r="I27" i="1" l="1"/>
  <c r="I16" i="1"/>
  <c r="H37" i="1" l="1"/>
  <c r="H27" i="1" l="1"/>
  <c r="H26" i="1"/>
  <c r="H33" i="1"/>
  <c r="I33" i="1"/>
  <c r="J33" i="1"/>
  <c r="H28" i="1" l="1"/>
  <c r="I28" i="1"/>
  <c r="J28" i="1"/>
  <c r="H25" i="1"/>
  <c r="I25" i="1"/>
  <c r="J25" i="1"/>
  <c r="H24" i="1"/>
  <c r="I24" i="1"/>
  <c r="J24" i="1"/>
  <c r="G19" i="1" l="1"/>
  <c r="E19" i="1"/>
  <c r="G11" i="1"/>
  <c r="F11" i="1"/>
  <c r="G37" i="1" l="1"/>
  <c r="G29" i="1" l="1"/>
  <c r="G35" i="1" l="1"/>
  <c r="F35" i="1"/>
  <c r="E35" i="1"/>
  <c r="F37" i="1" l="1"/>
  <c r="G27" i="1" l="1"/>
  <c r="G26" i="1"/>
  <c r="F27" i="1" l="1"/>
  <c r="F16" i="1"/>
  <c r="F26" i="1"/>
  <c r="E27" i="1" l="1"/>
  <c r="E26" i="1"/>
  <c r="E37" i="1" l="1"/>
  <c r="E33" i="1" l="1"/>
  <c r="F33" i="1"/>
  <c r="G33" i="1"/>
  <c r="E28" i="1"/>
  <c r="F28" i="1"/>
  <c r="G28" i="1"/>
  <c r="E25" i="1"/>
  <c r="F25" i="1"/>
  <c r="G25" i="1"/>
  <c r="E24" i="1"/>
  <c r="F24" i="1"/>
  <c r="G24" i="1"/>
  <c r="D11" i="1" l="1"/>
  <c r="D19" i="1"/>
  <c r="C11" i="1"/>
  <c r="D35" i="1" l="1"/>
  <c r="C35" i="1"/>
  <c r="D37" i="1" l="1"/>
  <c r="N35" i="1" l="1"/>
  <c r="D27" i="1" l="1"/>
  <c r="D26" i="1"/>
  <c r="C27" i="1" l="1"/>
  <c r="C16" i="1"/>
  <c r="C26" i="1"/>
  <c r="B27" i="1" l="1"/>
  <c r="B26" i="1"/>
  <c r="C33" i="1" l="1"/>
  <c r="D33" i="1"/>
  <c r="C28" i="1"/>
  <c r="D28" i="1"/>
  <c r="C25" i="1"/>
  <c r="D25" i="1"/>
  <c r="C24" i="1"/>
  <c r="D24" i="1"/>
  <c r="B33" i="1"/>
  <c r="B28" i="1"/>
  <c r="B25" i="1"/>
  <c r="B24" i="1"/>
  <c r="G15" i="1" l="1"/>
  <c r="N32" i="1" l="1"/>
  <c r="N33" i="1"/>
  <c r="N34" i="1"/>
  <c r="N36" i="1"/>
  <c r="N28" i="1"/>
  <c r="N25" i="1" l="1"/>
  <c r="N30" i="1"/>
  <c r="N31" i="1"/>
  <c r="N24" i="1"/>
  <c r="N37" i="1" l="1"/>
  <c r="N29" i="1" l="1"/>
  <c r="N27" i="1" l="1"/>
  <c r="N26" i="1"/>
  <c r="N38" i="1" l="1"/>
  <c r="N6" i="1"/>
  <c r="N5" i="1"/>
  <c r="C15" i="1"/>
  <c r="D15" i="1"/>
  <c r="C7" i="1"/>
  <c r="D7" i="1"/>
  <c r="N9" i="1"/>
  <c r="N10" i="1"/>
  <c r="N11" i="1"/>
  <c r="N12" i="1"/>
  <c r="N13" i="1"/>
  <c r="N14" i="1"/>
  <c r="N8" i="1"/>
  <c r="D38" i="1" l="1"/>
  <c r="D39" i="1" s="1"/>
  <c r="C38" i="1"/>
  <c r="C39" i="1" s="1"/>
  <c r="M7" i="1"/>
  <c r="N17" i="1"/>
  <c r="N18" i="1"/>
  <c r="N19" i="1"/>
  <c r="N20" i="1"/>
  <c r="N21" i="1"/>
  <c r="N22" i="1"/>
  <c r="N16" i="1"/>
  <c r="K15" i="1"/>
  <c r="L15" i="1"/>
  <c r="M15" i="1"/>
  <c r="K7" i="1"/>
  <c r="L7" i="1"/>
  <c r="M38" i="1" l="1"/>
  <c r="M39" i="1" s="1"/>
  <c r="L38" i="1"/>
  <c r="L39" i="1" s="1"/>
  <c r="K38" i="1"/>
  <c r="K39" i="1" s="1"/>
  <c r="H15" i="1"/>
  <c r="I15" i="1"/>
  <c r="J15" i="1"/>
  <c r="H7" i="1"/>
  <c r="I7" i="1"/>
  <c r="J7" i="1"/>
  <c r="B7" i="1"/>
  <c r="B15" i="1"/>
  <c r="G7" i="1"/>
  <c r="F7" i="1"/>
  <c r="E7" i="1"/>
  <c r="F15" i="1"/>
  <c r="E15" i="1"/>
  <c r="N15" i="1" l="1"/>
  <c r="N7" i="1"/>
  <c r="G38" i="1"/>
  <c r="G39" i="1" s="1"/>
  <c r="F38" i="1"/>
  <c r="F39" i="1" s="1"/>
  <c r="B38" i="1"/>
  <c r="B39" i="1" s="1"/>
  <c r="B40" i="1" s="1"/>
  <c r="B42" i="1"/>
  <c r="C6" i="1" s="1"/>
  <c r="I38" i="1"/>
  <c r="I39" i="1" s="1"/>
  <c r="J38" i="1"/>
  <c r="J39" i="1" s="1"/>
  <c r="N39" i="1" l="1"/>
  <c r="N42" i="1"/>
  <c r="H38" i="1"/>
  <c r="H39" i="1" s="1"/>
  <c r="C42" i="1"/>
  <c r="D6" i="1" s="1"/>
  <c r="D42" i="1" s="1"/>
  <c r="E6" i="1" s="1"/>
  <c r="E38" i="1"/>
  <c r="N40" i="1" l="1"/>
  <c r="E39" i="1"/>
  <c r="E42" i="1"/>
  <c r="F6" i="1" s="1"/>
  <c r="F42" i="1" s="1"/>
  <c r="G6" i="1" s="1"/>
  <c r="G42" i="1" s="1"/>
  <c r="C5" i="1"/>
  <c r="H6" i="1" l="1"/>
  <c r="H42" i="1" s="1"/>
  <c r="I6" i="1" s="1"/>
  <c r="C40" i="1"/>
  <c r="D5" i="1" s="1"/>
  <c r="D40" i="1" s="1"/>
  <c r="E5" i="1" s="1"/>
  <c r="E40" i="1" s="1"/>
  <c r="F5" i="1" s="1"/>
  <c r="F40" i="1" s="1"/>
  <c r="G5" i="1" s="1"/>
  <c r="G40" i="1" s="1"/>
  <c r="I42" i="1" l="1"/>
  <c r="J6" i="1" s="1"/>
  <c r="H5" i="1"/>
  <c r="H40" i="1" s="1"/>
  <c r="I5" i="1" s="1"/>
  <c r="I40" i="1" s="1"/>
  <c r="J5" i="1" s="1"/>
  <c r="J40" i="1" s="1"/>
  <c r="K5" i="1" s="1"/>
  <c r="K40" i="1" s="1"/>
  <c r="L5" i="1" s="1"/>
  <c r="L40" i="1" s="1"/>
  <c r="M5" i="1" s="1"/>
  <c r="M40" i="1" s="1"/>
  <c r="K6" i="1" l="1"/>
  <c r="K42" i="1" l="1"/>
  <c r="L6" i="1" s="1"/>
  <c r="L42" i="1" l="1"/>
  <c r="M6" i="1" s="1"/>
  <c r="M42" i="1" s="1"/>
</calcChain>
</file>

<file path=xl/sharedStrings.xml><?xml version="1.0" encoding="utf-8"?>
<sst xmlns="http://schemas.openxmlformats.org/spreadsheetml/2006/main" count="53" uniqueCount="45">
  <si>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</si>
  <si>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</si>
  <si>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</si>
  <si>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</si>
  <si>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</si>
  <si>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</si>
  <si>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</si>
  <si>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</si>
  <si>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</si>
  <si>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</si>
  <si>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</si>
  <si>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</si>
  <si>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</si>
  <si>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</si>
  <si>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</si>
  <si>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</si>
  <si>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</si>
  <si>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</si>
  <si>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</si>
  <si>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</si>
  <si>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</si>
  <si>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</si>
  <si>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</si>
  <si>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</si>
  <si>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</si>
  <si>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 xml:space="preserve">Содержание жилья и текущий ремонт,  ОПУ </t>
  </si>
  <si>
    <t>Содержание жилья и текущий ремонт,  ОПУ</t>
  </si>
  <si>
    <t>Тех.обслуживание общедомовых приборов учета</t>
  </si>
  <si>
    <t>Январь 2024г.</t>
  </si>
  <si>
    <t>Февраль 2024г</t>
  </si>
  <si>
    <t>Март 2024г</t>
  </si>
  <si>
    <t>Апрель 2024г.</t>
  </si>
  <si>
    <t>Май 2024г.</t>
  </si>
  <si>
    <t>Июнь 2024г.</t>
  </si>
  <si>
    <t>Июль 2024г</t>
  </si>
  <si>
    <t>Август 2024г</t>
  </si>
  <si>
    <t>Сентябрь 2024г</t>
  </si>
  <si>
    <t>Октябрь 2024г.</t>
  </si>
  <si>
    <t>Ноябрь 2024г</t>
  </si>
  <si>
    <t>Декабрь 2024г</t>
  </si>
  <si>
    <t>Всего:                       за  2024г.</t>
  </si>
  <si>
    <t>Вознаграждение совета МКД</t>
  </si>
  <si>
    <t>Налоги с вознаграждения совета МКД</t>
  </si>
  <si>
    <t>Корректировка задолженности по решению суда</t>
  </si>
  <si>
    <t xml:space="preserve">                 ОТЧЕТ по дому Приморская, 3 за период 01.01.2024г. по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</si>
</sst>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topLeftCell="C31" zoomScale="75" workbookViewId="0">
      <selection activeCell="I40" sqref="I40"/>
    </sheetView>
  </sheetViews>
  <sheetFormatPr defaultRowHeight="13.2" x14ac:dyDescent="0.25"/>
  <cols>
    <col min="1" max="1" width="56.44140625" customWidth="1"/>
    <col min="2" max="2" width="13.6640625" customWidth="1"/>
    <col min="3" max="3" width="14.109375" customWidth="1"/>
    <col min="4" max="4" width="13.88671875" customWidth="1"/>
    <col min="5" max="5" width="14.21875" customWidth="1"/>
    <col min="6" max="6" width="13.77734375" customWidth="1"/>
    <col min="7" max="7" width="15" customWidth="1"/>
    <col min="8" max="8" width="14.5546875" customWidth="1"/>
    <col min="9" max="9" width="14.33203125" customWidth="1"/>
    <col min="10" max="10" width="14.6640625" customWidth="1"/>
    <col min="11" max="11" width="15.44140625" customWidth="1"/>
    <col min="12" max="12" width="15.109375" customWidth="1"/>
    <col min="13" max="13" width="15.44140625" customWidth="1"/>
    <col min="14" max="14" width="14.33203125" customWidth="1"/>
  </cols>
  <sheetData>
    <row r="1" spans="1:18" ht="20.25" customHeight="1" x14ac:dyDescent="0.35">
      <c r="A1" s="20" t="s">
        <v>44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40</v>
      </c>
    </row>
    <row r="5" spans="1:18" ht="23.4" customHeight="1" thickBot="1" x14ac:dyDescent="0.3">
      <c r="A5" s="7" t="s">
        <v>15</v>
      </c>
      <c r="B5" s="8">
        <v>68499.02</v>
      </c>
      <c r="C5" s="8">
        <f>B40</f>
        <v>104617.17829000003</v>
      </c>
      <c r="D5" s="8">
        <f>C40</f>
        <v>135521.83507</v>
      </c>
      <c r="E5" s="8">
        <f t="shared" ref="E5:G5" si="0">D40</f>
        <v>127580.48421999998</v>
      </c>
      <c r="F5" s="8">
        <f t="shared" si="0"/>
        <v>135687.31440999999</v>
      </c>
      <c r="G5" s="8">
        <f t="shared" si="0"/>
        <v>168949.58822999999</v>
      </c>
      <c r="H5" s="8">
        <f t="shared" ref="H5" si="1">G40</f>
        <v>161687.92518999998</v>
      </c>
      <c r="I5" s="8">
        <f t="shared" ref="I5" si="2">H40</f>
        <v>-193408.91480999999</v>
      </c>
      <c r="J5" s="8">
        <f t="shared" ref="J5" si="3">I40</f>
        <v>-152581.07888000004</v>
      </c>
      <c r="K5" s="8">
        <f t="shared" ref="K5" si="4">J40</f>
        <v>-136411.90883000003</v>
      </c>
      <c r="L5" s="8">
        <f t="shared" ref="L5" si="5">K40</f>
        <v>-129632.67270000002</v>
      </c>
      <c r="M5" s="8">
        <f t="shared" ref="M5" si="6">L40</f>
        <v>-113281.73969000003</v>
      </c>
      <c r="N5" s="8">
        <f>B5</f>
        <v>68499.02</v>
      </c>
    </row>
    <row r="6" spans="1:18" ht="24" customHeight="1" thickBot="1" x14ac:dyDescent="0.3">
      <c r="A6" s="7" t="s">
        <v>13</v>
      </c>
      <c r="B6" s="8">
        <v>-512852.07</v>
      </c>
      <c r="C6" s="8">
        <f>B42</f>
        <v>-516460.12999999995</v>
      </c>
      <c r="D6" s="8">
        <f>C42</f>
        <v>-528221.80999999994</v>
      </c>
      <c r="E6" s="8">
        <f t="shared" ref="E6:G6" si="7">D42</f>
        <v>-524840.91999999993</v>
      </c>
      <c r="F6" s="8">
        <f t="shared" si="7"/>
        <v>-547538.97</v>
      </c>
      <c r="G6" s="8">
        <f t="shared" si="7"/>
        <v>-542479.79</v>
      </c>
      <c r="H6" s="8">
        <f t="shared" ref="H6:M6" si="8">G42</f>
        <v>-540383.54</v>
      </c>
      <c r="I6" s="8">
        <f t="shared" si="8"/>
        <v>-576794.17000000004</v>
      </c>
      <c r="J6" s="8">
        <f t="shared" si="8"/>
        <v>-524697.04000000015</v>
      </c>
      <c r="K6" s="8">
        <f t="shared" si="8"/>
        <v>-523745.43000000011</v>
      </c>
      <c r="L6" s="8">
        <f t="shared" si="8"/>
        <v>-543200.16000000015</v>
      </c>
      <c r="M6" s="8">
        <f t="shared" si="8"/>
        <v>-492565.7900000001</v>
      </c>
      <c r="N6" s="8">
        <f>B6</f>
        <v>-512852.07</v>
      </c>
    </row>
    <row r="7" spans="1:18" ht="24.6" customHeight="1" thickBot="1" x14ac:dyDescent="0.3">
      <c r="A7" s="9" t="s">
        <v>12</v>
      </c>
      <c r="B7" s="10">
        <f>SUM(B8:B14)</f>
        <v>136042.66999999998</v>
      </c>
      <c r="C7" s="10">
        <f t="shared" ref="C7:D7" si="9">SUM(C8:C14)</f>
        <v>140703.24</v>
      </c>
      <c r="D7" s="10">
        <f t="shared" si="9"/>
        <v>130477.19999999998</v>
      </c>
      <c r="E7" s="10">
        <f>SUM(E8:E14)</f>
        <v>146641.76999999999</v>
      </c>
      <c r="F7" s="10">
        <f>SUM(F8:F14)</f>
        <v>136577.26</v>
      </c>
      <c r="G7" s="10">
        <f>SUM(G8:G14)</f>
        <v>134357.68</v>
      </c>
      <c r="H7" s="10">
        <f t="shared" ref="H7:M7" si="10">SUM(H8:H14)</f>
        <v>169302.2</v>
      </c>
      <c r="I7" s="10">
        <f t="shared" si="10"/>
        <v>135253.65</v>
      </c>
      <c r="J7" s="10">
        <f t="shared" si="10"/>
        <v>139830.04999999999</v>
      </c>
      <c r="K7" s="10">
        <f t="shared" si="10"/>
        <v>148189.74</v>
      </c>
      <c r="L7" s="10">
        <f t="shared" si="10"/>
        <v>159000.12999999998</v>
      </c>
      <c r="M7" s="10">
        <f t="shared" si="10"/>
        <v>138530.94</v>
      </c>
      <c r="N7" s="10">
        <f>SUM(B7:M7)</f>
        <v>1714906.5299999998</v>
      </c>
    </row>
    <row r="8" spans="1:18" ht="24.75" customHeight="1" thickBot="1" x14ac:dyDescent="0.3">
      <c r="A8" s="4" t="s">
        <v>25</v>
      </c>
      <c r="B8" s="11">
        <v>108491.9</v>
      </c>
      <c r="C8" s="11">
        <v>108491.9</v>
      </c>
      <c r="D8" s="11">
        <v>108491.9</v>
      </c>
      <c r="E8" s="11">
        <v>108491.9</v>
      </c>
      <c r="F8" s="11">
        <v>108491.9</v>
      </c>
      <c r="G8" s="11">
        <v>108491.9</v>
      </c>
      <c r="H8" s="11">
        <v>108491.9</v>
      </c>
      <c r="I8" s="11">
        <v>108491.9</v>
      </c>
      <c r="J8" s="11">
        <v>108491.9</v>
      </c>
      <c r="K8" s="11">
        <v>108491.9</v>
      </c>
      <c r="L8" s="11">
        <v>108491.9</v>
      </c>
      <c r="M8" s="11">
        <v>108491.9</v>
      </c>
      <c r="N8" s="11">
        <f>SUM(B8:M8)</f>
        <v>1301902.7999999998</v>
      </c>
    </row>
    <row r="9" spans="1:18" ht="24.75" customHeight="1" thickBot="1" x14ac:dyDescent="0.3">
      <c r="A9" s="4" t="s">
        <v>16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28304.42</v>
      </c>
      <c r="I9" s="11">
        <v>4936.6099999999997</v>
      </c>
      <c r="J9" s="11">
        <v>4936.6099999999997</v>
      </c>
      <c r="K9" s="11">
        <v>4936.6099999999997</v>
      </c>
      <c r="L9" s="11">
        <v>4936.6099999999997</v>
      </c>
      <c r="M9" s="11">
        <v>4936.6099999999997</v>
      </c>
      <c r="N9" s="11">
        <f t="shared" ref="N9:N14" si="11">SUM(B9:M9)</f>
        <v>52987.47</v>
      </c>
    </row>
    <row r="10" spans="1:18" ht="21.75" customHeight="1" thickBot="1" x14ac:dyDescent="0.3">
      <c r="A10" s="4" t="s">
        <v>17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f t="shared" si="11"/>
        <v>0</v>
      </c>
    </row>
    <row r="11" spans="1:18" ht="22.5" customHeight="1" thickBot="1" x14ac:dyDescent="0.3">
      <c r="A11" s="4" t="s">
        <v>18</v>
      </c>
      <c r="B11" s="11">
        <v>7648.37</v>
      </c>
      <c r="C11" s="11">
        <f>11570.24+738.7</f>
        <v>12308.94</v>
      </c>
      <c r="D11" s="11">
        <f>1377.75+705.15</f>
        <v>2082.9</v>
      </c>
      <c r="E11" s="11">
        <v>18247.47</v>
      </c>
      <c r="F11" s="11">
        <f>7830.96+352</f>
        <v>8182.96</v>
      </c>
      <c r="G11" s="11">
        <f>5668.88+294.5</f>
        <v>5963.38</v>
      </c>
      <c r="H11" s="11">
        <f>12329.58+273.9</f>
        <v>12603.48</v>
      </c>
      <c r="I11" s="11">
        <f>1621.74+301</f>
        <v>1922.74</v>
      </c>
      <c r="J11" s="11">
        <f>6138.14+361</f>
        <v>6499.14</v>
      </c>
      <c r="K11" s="11">
        <f>14595.68+263.15</f>
        <v>14858.83</v>
      </c>
      <c r="L11" s="11">
        <f>9345.23+395</f>
        <v>9740.23</v>
      </c>
      <c r="M11" s="11">
        <f>10749.73+363.3</f>
        <v>11113.029999999999</v>
      </c>
      <c r="N11" s="11">
        <f t="shared" si="11"/>
        <v>111171.47</v>
      </c>
    </row>
    <row r="12" spans="1:18" ht="22.5" customHeight="1" thickBot="1" x14ac:dyDescent="0.3">
      <c r="A12" s="4" t="s">
        <v>24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f>1882.43+14046.56</f>
        <v>15928.99</v>
      </c>
      <c r="M12" s="11">
        <v>-5913</v>
      </c>
      <c r="N12" s="11">
        <f t="shared" si="11"/>
        <v>10015.99</v>
      </c>
    </row>
    <row r="13" spans="1:18" ht="22.5" customHeight="1" thickBot="1" x14ac:dyDescent="0.3">
      <c r="A13" s="4" t="s">
        <v>41</v>
      </c>
      <c r="B13" s="11">
        <v>18902.400000000001</v>
      </c>
      <c r="C13" s="11">
        <v>18902.400000000001</v>
      </c>
      <c r="D13" s="11">
        <v>18902.400000000001</v>
      </c>
      <c r="E13" s="11">
        <v>18902.400000000001</v>
      </c>
      <c r="F13" s="11">
        <v>18902.400000000001</v>
      </c>
      <c r="G13" s="11">
        <v>18902.400000000001</v>
      </c>
      <c r="H13" s="11">
        <v>18902.400000000001</v>
      </c>
      <c r="I13" s="11">
        <v>18902.400000000001</v>
      </c>
      <c r="J13" s="11">
        <v>18902.400000000001</v>
      </c>
      <c r="K13" s="11">
        <v>18902.400000000001</v>
      </c>
      <c r="L13" s="11">
        <v>18902.400000000001</v>
      </c>
      <c r="M13" s="11">
        <v>18902.400000000001</v>
      </c>
      <c r="N13" s="11">
        <f t="shared" si="11"/>
        <v>226828.79999999996</v>
      </c>
    </row>
    <row r="14" spans="1:18" ht="24" customHeight="1" thickBot="1" x14ac:dyDescent="0.3">
      <c r="A14" s="4" t="s">
        <v>14</v>
      </c>
      <c r="B14" s="11">
        <v>1000</v>
      </c>
      <c r="C14" s="11">
        <v>1000</v>
      </c>
      <c r="D14" s="11">
        <v>1000</v>
      </c>
      <c r="E14" s="11">
        <v>1000</v>
      </c>
      <c r="F14" s="11">
        <v>1000</v>
      </c>
      <c r="G14" s="11">
        <v>1000</v>
      </c>
      <c r="H14" s="11">
        <v>1000</v>
      </c>
      <c r="I14" s="11">
        <v>1000</v>
      </c>
      <c r="J14" s="11">
        <v>1000</v>
      </c>
      <c r="K14" s="11">
        <v>1000</v>
      </c>
      <c r="L14" s="11">
        <v>1000</v>
      </c>
      <c r="M14" s="11">
        <v>1000</v>
      </c>
      <c r="N14" s="11">
        <f t="shared" si="11"/>
        <v>12000</v>
      </c>
    </row>
    <row r="15" spans="1:18" ht="20.25" customHeight="1" thickBot="1" x14ac:dyDescent="0.3">
      <c r="A15" s="12" t="s">
        <v>8</v>
      </c>
      <c r="B15" s="13">
        <f>SUM(B16:B22)</f>
        <v>132434.61000000002</v>
      </c>
      <c r="C15" s="13">
        <f t="shared" ref="C15:D15" si="12">SUM(C16:C22)</f>
        <v>128941.55999999998</v>
      </c>
      <c r="D15" s="13">
        <f t="shared" si="12"/>
        <v>133858.09</v>
      </c>
      <c r="E15" s="13">
        <f>SUM(E16:E22)</f>
        <v>123943.72</v>
      </c>
      <c r="F15" s="13">
        <f>SUM(F16:F22)</f>
        <v>141636.44</v>
      </c>
      <c r="G15" s="13">
        <f>SUM(G16:G22)</f>
        <v>136453.93</v>
      </c>
      <c r="H15" s="13">
        <f t="shared" ref="H15:M15" si="13">SUM(H16:H22)</f>
        <v>132891.57</v>
      </c>
      <c r="I15" s="13">
        <f t="shared" si="13"/>
        <v>157594.18999999997</v>
      </c>
      <c r="J15" s="13">
        <f t="shared" si="13"/>
        <v>140781.66</v>
      </c>
      <c r="K15" s="13">
        <f t="shared" si="13"/>
        <v>128735.01000000001</v>
      </c>
      <c r="L15" s="13">
        <f t="shared" si="13"/>
        <v>140739.05000000002</v>
      </c>
      <c r="M15" s="13">
        <f t="shared" si="13"/>
        <v>140368.87</v>
      </c>
      <c r="N15" s="13">
        <f>SUM(B15:M15)</f>
        <v>1638378.6999999997</v>
      </c>
    </row>
    <row r="16" spans="1:18" ht="24" customHeight="1" thickBot="1" x14ac:dyDescent="0.3">
      <c r="A16" s="4" t="s">
        <v>26</v>
      </c>
      <c r="B16" s="11">
        <v>89777.11</v>
      </c>
      <c r="C16" s="11">
        <f>100512.61+99.79</f>
        <v>100612.4</v>
      </c>
      <c r="D16" s="11">
        <v>102347.22</v>
      </c>
      <c r="E16" s="11">
        <v>102216.83</v>
      </c>
      <c r="F16" s="11">
        <f>105581.33+0.34</f>
        <v>105581.67</v>
      </c>
      <c r="G16" s="11">
        <v>106850.42</v>
      </c>
      <c r="H16" s="11">
        <v>106417.14</v>
      </c>
      <c r="I16" s="11">
        <f>101976.94+0.42</f>
        <v>101977.36</v>
      </c>
      <c r="J16" s="11">
        <v>110322.97</v>
      </c>
      <c r="K16" s="11">
        <v>99036.21</v>
      </c>
      <c r="L16" s="11">
        <v>102360.74</v>
      </c>
      <c r="M16" s="11">
        <v>98436.06</v>
      </c>
      <c r="N16" s="11">
        <f>SUM(B16:M16)</f>
        <v>1225936.1300000001</v>
      </c>
    </row>
    <row r="17" spans="1:15" ht="26.25" customHeight="1" thickBot="1" x14ac:dyDescent="0.3">
      <c r="A17" s="4" t="s">
        <v>16</v>
      </c>
      <c r="B17" s="11">
        <v>1564.8</v>
      </c>
      <c r="C17" s="11">
        <v>802.4</v>
      </c>
      <c r="D17" s="11">
        <v>659.81</v>
      </c>
      <c r="E17" s="11">
        <v>537.58000000000004</v>
      </c>
      <c r="F17" s="11">
        <v>841</v>
      </c>
      <c r="G17" s="11">
        <v>830.38</v>
      </c>
      <c r="H17" s="11">
        <v>942.21</v>
      </c>
      <c r="I17" s="11">
        <v>24010.28</v>
      </c>
      <c r="J17" s="11">
        <v>6157.76</v>
      </c>
      <c r="K17" s="11">
        <v>4803.51</v>
      </c>
      <c r="L17" s="11">
        <v>4868.46</v>
      </c>
      <c r="M17" s="11">
        <v>348.05</v>
      </c>
      <c r="N17" s="11">
        <f t="shared" ref="N17:N22" si="14">SUM(B17:M17)</f>
        <v>46366.240000000005</v>
      </c>
    </row>
    <row r="18" spans="1:15" ht="26.25" customHeight="1" thickBot="1" x14ac:dyDescent="0.3">
      <c r="A18" s="4" t="s">
        <v>17</v>
      </c>
      <c r="B18" s="11">
        <v>3111.79</v>
      </c>
      <c r="C18" s="11">
        <v>203.13</v>
      </c>
      <c r="D18" s="11">
        <v>35.21</v>
      </c>
      <c r="E18" s="11">
        <v>26.39</v>
      </c>
      <c r="F18" s="11">
        <v>38.5</v>
      </c>
      <c r="G18" s="11">
        <v>41.62</v>
      </c>
      <c r="H18" s="11">
        <v>34.35</v>
      </c>
      <c r="I18" s="11">
        <v>21.19</v>
      </c>
      <c r="J18" s="11">
        <v>21.83</v>
      </c>
      <c r="K18" s="11">
        <v>14.64</v>
      </c>
      <c r="L18" s="11">
        <v>17.440000000000001</v>
      </c>
      <c r="M18" s="11">
        <v>22.54</v>
      </c>
      <c r="N18" s="11">
        <f t="shared" si="14"/>
        <v>3588.6299999999997</v>
      </c>
    </row>
    <row r="19" spans="1:15" ht="24" customHeight="1" thickBot="1" x14ac:dyDescent="0.3">
      <c r="A19" s="4" t="s">
        <v>18</v>
      </c>
      <c r="B19" s="11">
        <v>7928.88</v>
      </c>
      <c r="C19" s="11">
        <v>7362.65</v>
      </c>
      <c r="D19" s="11">
        <f>10540.56+738.7</f>
        <v>11279.26</v>
      </c>
      <c r="E19" s="11">
        <f>2042.58+705.15</f>
        <v>2747.73</v>
      </c>
      <c r="F19" s="11">
        <v>16043.61</v>
      </c>
      <c r="G19" s="11">
        <f>8325.79+352</f>
        <v>8677.7900000000009</v>
      </c>
      <c r="H19" s="11">
        <v>6100.46</v>
      </c>
      <c r="I19" s="11">
        <v>11217.97</v>
      </c>
      <c r="J19" s="11">
        <v>2849.49</v>
      </c>
      <c r="K19" s="11">
        <v>5740.85</v>
      </c>
      <c r="L19" s="11">
        <f>13187.31+263.15</f>
        <v>13450.46</v>
      </c>
      <c r="M19" s="11">
        <f>8562.19+395</f>
        <v>8957.19</v>
      </c>
      <c r="N19" s="11">
        <f t="shared" si="14"/>
        <v>102356.34000000003</v>
      </c>
    </row>
    <row r="20" spans="1:15" ht="24" customHeight="1" thickBot="1" x14ac:dyDescent="0.3">
      <c r="A20" s="4" t="s">
        <v>24</v>
      </c>
      <c r="B20" s="11">
        <v>17535.55</v>
      </c>
      <c r="C20" s="11">
        <v>1161.8699999999999</v>
      </c>
      <c r="D20" s="11">
        <v>274.55</v>
      </c>
      <c r="E20" s="11">
        <v>158.47999999999999</v>
      </c>
      <c r="F20" s="11">
        <v>259.79000000000002</v>
      </c>
      <c r="G20" s="11">
        <v>215.54</v>
      </c>
      <c r="H20" s="11">
        <v>242.58</v>
      </c>
      <c r="I20" s="11">
        <v>99.33</v>
      </c>
      <c r="J20" s="11">
        <v>160.62</v>
      </c>
      <c r="K20" s="11">
        <v>102.51</v>
      </c>
      <c r="L20" s="11">
        <v>688.11</v>
      </c>
      <c r="M20" s="11">
        <v>12568.56</v>
      </c>
      <c r="N20" s="11">
        <f t="shared" si="14"/>
        <v>33467.49</v>
      </c>
    </row>
    <row r="21" spans="1:15" ht="24" customHeight="1" thickBot="1" x14ac:dyDescent="0.3">
      <c r="A21" s="4" t="s">
        <v>41</v>
      </c>
      <c r="B21" s="11">
        <v>11516.48</v>
      </c>
      <c r="C21" s="11">
        <v>17799.11</v>
      </c>
      <c r="D21" s="11">
        <v>18262.04</v>
      </c>
      <c r="E21" s="11">
        <v>17256.71</v>
      </c>
      <c r="F21" s="11">
        <v>17871.87</v>
      </c>
      <c r="G21" s="11">
        <v>18838.18</v>
      </c>
      <c r="H21" s="11">
        <v>18154.830000000002</v>
      </c>
      <c r="I21" s="11">
        <v>19268.060000000001</v>
      </c>
      <c r="J21" s="11">
        <v>20268.990000000002</v>
      </c>
      <c r="K21" s="11">
        <v>18037.29</v>
      </c>
      <c r="L21" s="11">
        <v>18353.84</v>
      </c>
      <c r="M21" s="11">
        <v>19036.47</v>
      </c>
      <c r="N21" s="11">
        <f t="shared" si="14"/>
        <v>214663.87000000002</v>
      </c>
    </row>
    <row r="22" spans="1:15" ht="21" customHeight="1" thickBot="1" x14ac:dyDescent="0.3">
      <c r="A22" s="4" t="s">
        <v>14</v>
      </c>
      <c r="B22" s="14">
        <v>1000</v>
      </c>
      <c r="C22" s="14">
        <v>1000</v>
      </c>
      <c r="D22" s="14">
        <v>1000</v>
      </c>
      <c r="E22" s="14">
        <v>1000</v>
      </c>
      <c r="F22" s="14">
        <v>1000</v>
      </c>
      <c r="G22" s="14">
        <v>1000</v>
      </c>
      <c r="H22" s="14">
        <v>1000</v>
      </c>
      <c r="I22" s="14">
        <v>1000</v>
      </c>
      <c r="J22" s="14">
        <v>1000</v>
      </c>
      <c r="K22" s="14">
        <v>1000</v>
      </c>
      <c r="L22" s="14">
        <v>1000</v>
      </c>
      <c r="M22" s="14">
        <v>1000</v>
      </c>
      <c r="N22" s="11">
        <f t="shared" si="14"/>
        <v>12000</v>
      </c>
      <c r="O22" s="3"/>
    </row>
    <row r="23" spans="1:15" ht="21.75" customHeight="1" thickBot="1" x14ac:dyDescent="0.3">
      <c r="A23" s="15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22.2" customHeight="1" thickBot="1" x14ac:dyDescent="0.3">
      <c r="A24" s="4" t="s">
        <v>1</v>
      </c>
      <c r="B24" s="11">
        <f>5710.1*0.6</f>
        <v>3426.06</v>
      </c>
      <c r="C24" s="11">
        <f t="shared" ref="C24:M24" si="15">5710.1*0.6</f>
        <v>3426.06</v>
      </c>
      <c r="D24" s="11">
        <f t="shared" si="15"/>
        <v>3426.06</v>
      </c>
      <c r="E24" s="11">
        <f t="shared" si="15"/>
        <v>3426.06</v>
      </c>
      <c r="F24" s="11">
        <f t="shared" si="15"/>
        <v>3426.06</v>
      </c>
      <c r="G24" s="11">
        <f t="shared" si="15"/>
        <v>3426.06</v>
      </c>
      <c r="H24" s="11">
        <f t="shared" si="15"/>
        <v>3426.06</v>
      </c>
      <c r="I24" s="11">
        <f t="shared" si="15"/>
        <v>3426.06</v>
      </c>
      <c r="J24" s="11">
        <f t="shared" si="15"/>
        <v>3426.06</v>
      </c>
      <c r="K24" s="11">
        <f t="shared" si="15"/>
        <v>3426.06</v>
      </c>
      <c r="L24" s="11">
        <f t="shared" si="15"/>
        <v>3426.06</v>
      </c>
      <c r="M24" s="11">
        <f t="shared" si="15"/>
        <v>3426.06</v>
      </c>
      <c r="N24" s="11">
        <f>SUM(B24:M24)</f>
        <v>41112.720000000001</v>
      </c>
    </row>
    <row r="25" spans="1:15" ht="24" customHeight="1" thickBot="1" x14ac:dyDescent="0.3">
      <c r="A25" s="4" t="s">
        <v>2</v>
      </c>
      <c r="B25" s="11">
        <f>5710.1*0.17</f>
        <v>970.7170000000001</v>
      </c>
      <c r="C25" s="11">
        <f t="shared" ref="C25:M25" si="16">5710.1*0.17</f>
        <v>970.7170000000001</v>
      </c>
      <c r="D25" s="11">
        <f t="shared" si="16"/>
        <v>970.7170000000001</v>
      </c>
      <c r="E25" s="11">
        <f t="shared" si="16"/>
        <v>970.7170000000001</v>
      </c>
      <c r="F25" s="11">
        <f t="shared" si="16"/>
        <v>970.7170000000001</v>
      </c>
      <c r="G25" s="11">
        <f t="shared" si="16"/>
        <v>970.7170000000001</v>
      </c>
      <c r="H25" s="11">
        <f t="shared" si="16"/>
        <v>970.7170000000001</v>
      </c>
      <c r="I25" s="11">
        <f t="shared" si="16"/>
        <v>970.7170000000001</v>
      </c>
      <c r="J25" s="11">
        <f t="shared" si="16"/>
        <v>970.7170000000001</v>
      </c>
      <c r="K25" s="11">
        <f t="shared" si="16"/>
        <v>970.7170000000001</v>
      </c>
      <c r="L25" s="11">
        <f t="shared" si="16"/>
        <v>970.7170000000001</v>
      </c>
      <c r="M25" s="11">
        <f t="shared" si="16"/>
        <v>970.7170000000001</v>
      </c>
      <c r="N25" s="11">
        <f t="shared" ref="N25:N37" si="17">SUM(B25:M25)</f>
        <v>11648.604000000005</v>
      </c>
    </row>
    <row r="26" spans="1:15" ht="22.95" customHeight="1" thickBot="1" x14ac:dyDescent="0.3">
      <c r="A26" s="4" t="s">
        <v>3</v>
      </c>
      <c r="B26" s="11">
        <f>135042.67*2.3%</f>
        <v>3105.9814100000003</v>
      </c>
      <c r="C26" s="11">
        <f>138964.54*2.3%</f>
        <v>3196.18442</v>
      </c>
      <c r="D26" s="11">
        <f>128772.05*2.3%</f>
        <v>2961.7571499999999</v>
      </c>
      <c r="E26" s="11">
        <f>145641.77*2.3%</f>
        <v>3349.7607099999996</v>
      </c>
      <c r="F26" s="11">
        <f>135225.26*2.3%</f>
        <v>3110.1809800000001</v>
      </c>
      <c r="G26" s="11">
        <f>133063.18*2.3%</f>
        <v>3060.4531399999996</v>
      </c>
      <c r="H26" s="11">
        <f>168028.3*2.3%</f>
        <v>3864.6508999999996</v>
      </c>
      <c r="I26" s="11">
        <f>156594.19*2.3%</f>
        <v>3601.6663699999999</v>
      </c>
      <c r="J26" s="11">
        <f>138469.05*2.3%</f>
        <v>3184.7881499999999</v>
      </c>
      <c r="K26" s="11">
        <f>146926.59*2.3%</f>
        <v>3379.3115699999998</v>
      </c>
      <c r="L26" s="11">
        <f>157605.13*2.3%</f>
        <v>3624.9179899999999</v>
      </c>
      <c r="M26" s="11">
        <f>137167.64*2.3%</f>
        <v>3154.8557200000005</v>
      </c>
      <c r="N26" s="11">
        <f t="shared" si="17"/>
        <v>39594.50851</v>
      </c>
    </row>
    <row r="27" spans="1:15" ht="23.25" customHeight="1" thickBot="1" x14ac:dyDescent="0.3">
      <c r="A27" s="4" t="s">
        <v>4</v>
      </c>
      <c r="B27" s="11">
        <f>131434.61*3%</f>
        <v>3943.0382999999993</v>
      </c>
      <c r="C27" s="11">
        <f>127941.56*3%</f>
        <v>3838.2467999999999</v>
      </c>
      <c r="D27" s="11">
        <f>132119.39*3%</f>
        <v>3963.5817000000002</v>
      </c>
      <c r="E27" s="11">
        <f>122238.57*3%</f>
        <v>3667.1570999999999</v>
      </c>
      <c r="F27" s="11">
        <f>140636.44*3%</f>
        <v>4219.0932000000003</v>
      </c>
      <c r="G27" s="11">
        <f>135101.93*3%</f>
        <v>4053.0578999999998</v>
      </c>
      <c r="H27" s="11">
        <f>131891.57*3%</f>
        <v>3956.7471</v>
      </c>
      <c r="I27" s="11">
        <f>156594.19*3%</f>
        <v>4697.8257000000003</v>
      </c>
      <c r="J27" s="11">
        <f>139781.66*3%</f>
        <v>4193.4498000000003</v>
      </c>
      <c r="K27" s="11">
        <f>127735.01*3%</f>
        <v>3832.0502999999999</v>
      </c>
      <c r="L27" s="11">
        <f>139475.9*3%</f>
        <v>4184.277</v>
      </c>
      <c r="M27" s="11">
        <f>138973.87*3%</f>
        <v>4169.2160999999996</v>
      </c>
      <c r="N27" s="11">
        <f t="shared" si="17"/>
        <v>48717.741000000002</v>
      </c>
    </row>
    <row r="28" spans="1:15" ht="23.25" customHeight="1" thickBot="1" x14ac:dyDescent="0.3">
      <c r="A28" s="4" t="s">
        <v>9</v>
      </c>
      <c r="B28" s="11">
        <f>5710.1*9.7</f>
        <v>55387.97</v>
      </c>
      <c r="C28" s="11">
        <f t="shared" ref="C28:M28" si="18">5710.1*9.7</f>
        <v>55387.97</v>
      </c>
      <c r="D28" s="11">
        <f t="shared" si="18"/>
        <v>55387.97</v>
      </c>
      <c r="E28" s="11">
        <f t="shared" si="18"/>
        <v>55387.97</v>
      </c>
      <c r="F28" s="11">
        <f t="shared" si="18"/>
        <v>55387.97</v>
      </c>
      <c r="G28" s="11">
        <f t="shared" si="18"/>
        <v>55387.97</v>
      </c>
      <c r="H28" s="11">
        <f t="shared" si="18"/>
        <v>55387.97</v>
      </c>
      <c r="I28" s="11">
        <f t="shared" si="18"/>
        <v>55387.97</v>
      </c>
      <c r="J28" s="11">
        <f t="shared" si="18"/>
        <v>55387.97</v>
      </c>
      <c r="K28" s="11">
        <f t="shared" si="18"/>
        <v>55387.97</v>
      </c>
      <c r="L28" s="11">
        <f t="shared" si="18"/>
        <v>55387.97</v>
      </c>
      <c r="M28" s="11">
        <f t="shared" si="18"/>
        <v>55387.97</v>
      </c>
      <c r="N28" s="11">
        <f t="shared" si="17"/>
        <v>664655.63999999978</v>
      </c>
    </row>
    <row r="29" spans="1:15" ht="26.25" customHeight="1" thickBot="1" x14ac:dyDescent="0.3">
      <c r="A29" s="4" t="s">
        <v>19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f>28304.53+0</f>
        <v>28304.53</v>
      </c>
      <c r="H29" s="11">
        <v>4936.6000000000004</v>
      </c>
      <c r="I29" s="11">
        <v>4936.6000000000004</v>
      </c>
      <c r="J29" s="11">
        <v>4936.6000000000004</v>
      </c>
      <c r="K29" s="11">
        <v>4936.6000000000004</v>
      </c>
      <c r="L29" s="11">
        <v>4936.6000000000004</v>
      </c>
      <c r="M29" s="11">
        <v>4936.6000000000004</v>
      </c>
      <c r="N29" s="11">
        <f t="shared" si="17"/>
        <v>57924.12999999999</v>
      </c>
    </row>
    <row r="30" spans="1:15" ht="26.25" customHeight="1" thickBot="1" x14ac:dyDescent="0.3">
      <c r="A30" s="4" t="s">
        <v>20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 t="shared" si="17"/>
        <v>0</v>
      </c>
    </row>
    <row r="31" spans="1:15" ht="26.25" customHeight="1" thickBot="1" x14ac:dyDescent="0.3">
      <c r="A31" s="4" t="s">
        <v>21</v>
      </c>
      <c r="B31" s="11">
        <v>12308.9</v>
      </c>
      <c r="C31" s="11">
        <v>2083.3000000000002</v>
      </c>
      <c r="D31" s="11">
        <v>18247.560000000001</v>
      </c>
      <c r="E31" s="11">
        <v>8183.8</v>
      </c>
      <c r="F31" s="11">
        <v>5963.55</v>
      </c>
      <c r="G31" s="11">
        <v>12603.55</v>
      </c>
      <c r="H31" s="11">
        <v>1925.25</v>
      </c>
      <c r="I31" s="11">
        <v>6496.02</v>
      </c>
      <c r="J31" s="11">
        <v>14871.98</v>
      </c>
      <c r="K31" s="11">
        <v>9739.49</v>
      </c>
      <c r="L31" s="11">
        <v>11112.1</v>
      </c>
      <c r="M31" s="11">
        <v>1599.09</v>
      </c>
      <c r="N31" s="11">
        <f t="shared" si="17"/>
        <v>105134.59000000001</v>
      </c>
    </row>
    <row r="32" spans="1:15" ht="26.25" customHeight="1" thickBot="1" x14ac:dyDescent="0.3">
      <c r="A32" s="4" t="s">
        <v>24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369.78</v>
      </c>
      <c r="I32" s="11">
        <v>369.78</v>
      </c>
      <c r="J32" s="11">
        <v>369.78</v>
      </c>
      <c r="K32" s="11">
        <v>1882.2</v>
      </c>
      <c r="L32" s="11">
        <v>1882.2</v>
      </c>
      <c r="M32" s="11">
        <v>1882.2</v>
      </c>
      <c r="N32" s="11">
        <f t="shared" si="17"/>
        <v>6755.94</v>
      </c>
    </row>
    <row r="33" spans="1:14" ht="22.5" customHeight="1" thickBot="1" x14ac:dyDescent="0.3">
      <c r="A33" s="4" t="s">
        <v>6</v>
      </c>
      <c r="B33" s="11">
        <f>5710.1*2.85</f>
        <v>16273.785000000002</v>
      </c>
      <c r="C33" s="11">
        <f t="shared" ref="C33:M33" si="19">5710.1*2.85</f>
        <v>16273.785000000002</v>
      </c>
      <c r="D33" s="11">
        <f t="shared" si="19"/>
        <v>16273.785000000002</v>
      </c>
      <c r="E33" s="11">
        <f t="shared" si="19"/>
        <v>16273.785000000002</v>
      </c>
      <c r="F33" s="11">
        <f t="shared" si="19"/>
        <v>16273.785000000002</v>
      </c>
      <c r="G33" s="11">
        <f t="shared" si="19"/>
        <v>16273.785000000002</v>
      </c>
      <c r="H33" s="11">
        <f t="shared" si="19"/>
        <v>16273.785000000002</v>
      </c>
      <c r="I33" s="11">
        <f t="shared" si="19"/>
        <v>16273.785000000002</v>
      </c>
      <c r="J33" s="11">
        <f t="shared" si="19"/>
        <v>16273.785000000002</v>
      </c>
      <c r="K33" s="11">
        <f t="shared" si="19"/>
        <v>16273.785000000002</v>
      </c>
      <c r="L33" s="11">
        <f t="shared" si="19"/>
        <v>16273.785000000002</v>
      </c>
      <c r="M33" s="11">
        <f t="shared" si="19"/>
        <v>16273.785000000002</v>
      </c>
      <c r="N33" s="11">
        <f t="shared" si="17"/>
        <v>195285.42</v>
      </c>
    </row>
    <row r="34" spans="1:14" ht="24" customHeight="1" thickBot="1" x14ac:dyDescent="0.3">
      <c r="A34" s="4" t="s">
        <v>41</v>
      </c>
      <c r="B34" s="11">
        <v>0</v>
      </c>
      <c r="C34" s="11">
        <v>6817.45</v>
      </c>
      <c r="D34" s="11">
        <v>10145.379999999999</v>
      </c>
      <c r="E34" s="11">
        <v>10409.43</v>
      </c>
      <c r="F34" s="11">
        <v>9836.7000000000007</v>
      </c>
      <c r="G34" s="11">
        <v>10186.31</v>
      </c>
      <c r="H34" s="11">
        <v>10737.73</v>
      </c>
      <c r="I34" s="11">
        <v>10348.379999999999</v>
      </c>
      <c r="J34" s="11">
        <v>10987.55</v>
      </c>
      <c r="K34" s="11">
        <v>11707.34</v>
      </c>
      <c r="L34" s="11">
        <v>10281.1</v>
      </c>
      <c r="M34" s="11">
        <v>10461.69</v>
      </c>
      <c r="N34" s="11">
        <f t="shared" si="17"/>
        <v>111919.06000000001</v>
      </c>
    </row>
    <row r="35" spans="1:14" ht="24" customHeight="1" thickBot="1" x14ac:dyDescent="0.3">
      <c r="A35" s="4" t="s">
        <v>42</v>
      </c>
      <c r="B35" s="11">
        <v>0</v>
      </c>
      <c r="C35" s="11">
        <f>3588.19+1555</f>
        <v>5143.1900000000005</v>
      </c>
      <c r="D35" s="11">
        <f>5339.73+2314</f>
        <v>7653.73</v>
      </c>
      <c r="E35" s="11">
        <f>2374+5478.61</f>
        <v>7852.61</v>
      </c>
      <c r="F35" s="11">
        <f>2243+5177.01</f>
        <v>7420.01</v>
      </c>
      <c r="G35" s="11">
        <f>2324+5361.56</f>
        <v>7685.56</v>
      </c>
      <c r="H35" s="11">
        <f>2449+5651.45</f>
        <v>8100.45</v>
      </c>
      <c r="I35" s="11">
        <f>2360+5446.45</f>
        <v>7806.45</v>
      </c>
      <c r="J35" s="11">
        <f>2504+5776.51</f>
        <v>8280.51</v>
      </c>
      <c r="K35" s="11">
        <f>2635+5926.65</f>
        <v>8561.65</v>
      </c>
      <c r="L35" s="11">
        <f>2345+5411.19</f>
        <v>7756.19</v>
      </c>
      <c r="M35" s="11">
        <f>2386+5506.15</f>
        <v>7892.15</v>
      </c>
      <c r="N35" s="11">
        <f t="shared" si="17"/>
        <v>84152.499999999985</v>
      </c>
    </row>
    <row r="36" spans="1:14" ht="22.95" customHeight="1" thickBot="1" x14ac:dyDescent="0.3">
      <c r="A36" s="4" t="s">
        <v>27</v>
      </c>
      <c r="B36" s="11">
        <v>900</v>
      </c>
      <c r="C36" s="11">
        <v>900</v>
      </c>
      <c r="D36" s="11">
        <v>900</v>
      </c>
      <c r="E36" s="11">
        <v>900</v>
      </c>
      <c r="F36" s="11">
        <v>900</v>
      </c>
      <c r="G36" s="11">
        <v>900</v>
      </c>
      <c r="H36" s="11">
        <v>900</v>
      </c>
      <c r="I36" s="11">
        <v>900</v>
      </c>
      <c r="J36" s="11">
        <v>900</v>
      </c>
      <c r="K36" s="11">
        <v>900</v>
      </c>
      <c r="L36" s="11">
        <v>900</v>
      </c>
      <c r="M36" s="11">
        <v>900</v>
      </c>
      <c r="N36" s="11">
        <f t="shared" si="17"/>
        <v>10800</v>
      </c>
    </row>
    <row r="37" spans="1:14" ht="24" customHeight="1" thickBot="1" x14ac:dyDescent="0.3">
      <c r="A37" s="4" t="s">
        <v>10</v>
      </c>
      <c r="B37" s="11">
        <v>0</v>
      </c>
      <c r="C37" s="11">
        <v>0</v>
      </c>
      <c r="D37" s="11">
        <f>21268.9+600</f>
        <v>21868.9</v>
      </c>
      <c r="E37" s="11">
        <f>5415.6</f>
        <v>5415.6</v>
      </c>
      <c r="F37" s="11">
        <f>866.1</f>
        <v>866.1</v>
      </c>
      <c r="G37" s="11">
        <f>863.6</f>
        <v>863.6</v>
      </c>
      <c r="H37" s="11">
        <f>7160.6+7798.5+10706+351473.57</f>
        <v>377138.67</v>
      </c>
      <c r="I37" s="11">
        <f>1551.1</f>
        <v>1551.1</v>
      </c>
      <c r="J37" s="11">
        <f>829.3</f>
        <v>829.3</v>
      </c>
      <c r="K37" s="11">
        <f>958.6</f>
        <v>958.6</v>
      </c>
      <c r="L37" s="11">
        <f>2998.5+653.7</f>
        <v>3652.2</v>
      </c>
      <c r="M37" s="11">
        <f>29703.1+2138.6+844.1+3187.5+4839.9</f>
        <v>40713.199999999997</v>
      </c>
      <c r="N37" s="11">
        <f t="shared" si="17"/>
        <v>453857.26999999996</v>
      </c>
    </row>
    <row r="38" spans="1:14" ht="22.5" customHeight="1" thickBot="1" x14ac:dyDescent="0.3">
      <c r="A38" s="9" t="s">
        <v>22</v>
      </c>
      <c r="B38" s="10">
        <f t="shared" ref="B38:M38" si="20">SUM(B24:B37)</f>
        <v>96316.451709999994</v>
      </c>
      <c r="C38" s="10">
        <f t="shared" si="20"/>
        <v>98036.903220000007</v>
      </c>
      <c r="D38" s="10">
        <f t="shared" si="20"/>
        <v>141799.44085000001</v>
      </c>
      <c r="E38" s="10">
        <f t="shared" si="20"/>
        <v>115836.88981000001</v>
      </c>
      <c r="F38" s="10">
        <f t="shared" si="20"/>
        <v>108374.16618</v>
      </c>
      <c r="G38" s="10">
        <f t="shared" si="20"/>
        <v>143715.59304000001</v>
      </c>
      <c r="H38" s="10">
        <f t="shared" si="20"/>
        <v>487988.41</v>
      </c>
      <c r="I38" s="10">
        <f t="shared" si="20"/>
        <v>116766.35407000002</v>
      </c>
      <c r="J38" s="10">
        <f t="shared" si="20"/>
        <v>124612.48995</v>
      </c>
      <c r="K38" s="10">
        <f t="shared" si="20"/>
        <v>121955.77387</v>
      </c>
      <c r="L38" s="10">
        <f t="shared" si="20"/>
        <v>124388.11699000002</v>
      </c>
      <c r="M38" s="10">
        <f t="shared" si="20"/>
        <v>151767.53382000001</v>
      </c>
      <c r="N38" s="10">
        <f>SUM(N24:N37)</f>
        <v>1831558.1235099998</v>
      </c>
    </row>
    <row r="39" spans="1:14" ht="23.25" customHeight="1" thickBot="1" x14ac:dyDescent="0.3">
      <c r="A39" s="4" t="s">
        <v>5</v>
      </c>
      <c r="B39" s="18">
        <f t="shared" ref="B39:M39" si="21">B15-B38</f>
        <v>36118.158290000021</v>
      </c>
      <c r="C39" s="18">
        <f t="shared" si="21"/>
        <v>30904.656779999976</v>
      </c>
      <c r="D39" s="18">
        <f t="shared" si="21"/>
        <v>-7941.3508500000171</v>
      </c>
      <c r="E39" s="18">
        <f t="shared" si="21"/>
        <v>8106.8301899999933</v>
      </c>
      <c r="F39" s="18">
        <f t="shared" si="21"/>
        <v>33262.273820000002</v>
      </c>
      <c r="G39" s="18">
        <f t="shared" si="21"/>
        <v>-7261.663040000014</v>
      </c>
      <c r="H39" s="18">
        <f t="shared" si="21"/>
        <v>-355096.83999999997</v>
      </c>
      <c r="I39" s="18">
        <f t="shared" si="21"/>
        <v>40827.835929999957</v>
      </c>
      <c r="J39" s="18">
        <f t="shared" si="21"/>
        <v>16169.170050000001</v>
      </c>
      <c r="K39" s="18">
        <f t="shared" si="21"/>
        <v>6779.2361300000048</v>
      </c>
      <c r="L39" s="18">
        <f t="shared" si="21"/>
        <v>16350.933009999993</v>
      </c>
      <c r="M39" s="18">
        <f t="shared" si="21"/>
        <v>-11398.663820000016</v>
      </c>
      <c r="N39" s="18">
        <f>N15-N38</f>
        <v>-193179.42351000011</v>
      </c>
    </row>
    <row r="40" spans="1:14" ht="23.25" customHeight="1" thickBot="1" x14ac:dyDescent="0.3">
      <c r="A40" s="4" t="s">
        <v>7</v>
      </c>
      <c r="B40" s="14">
        <f t="shared" ref="B40:N40" si="22">B5+B39</f>
        <v>104617.17829000003</v>
      </c>
      <c r="C40" s="14">
        <f t="shared" si="22"/>
        <v>135521.83507</v>
      </c>
      <c r="D40" s="14">
        <f t="shared" si="22"/>
        <v>127580.48421999998</v>
      </c>
      <c r="E40" s="14">
        <f t="shared" si="22"/>
        <v>135687.31440999999</v>
      </c>
      <c r="F40" s="14">
        <f t="shared" si="22"/>
        <v>168949.58822999999</v>
      </c>
      <c r="G40" s="14">
        <f t="shared" si="22"/>
        <v>161687.92518999998</v>
      </c>
      <c r="H40" s="14">
        <f t="shared" si="22"/>
        <v>-193408.91480999999</v>
      </c>
      <c r="I40" s="14">
        <f t="shared" si="22"/>
        <v>-152581.07888000004</v>
      </c>
      <c r="J40" s="14">
        <f t="shared" si="22"/>
        <v>-136411.90883000003</v>
      </c>
      <c r="K40" s="14">
        <f t="shared" si="22"/>
        <v>-129632.67270000002</v>
      </c>
      <c r="L40" s="14">
        <f t="shared" si="22"/>
        <v>-113281.73969000003</v>
      </c>
      <c r="M40" s="14">
        <f t="shared" si="22"/>
        <v>-124680.40351000005</v>
      </c>
      <c r="N40" s="14">
        <f t="shared" si="22"/>
        <v>-124680.40351000011</v>
      </c>
    </row>
    <row r="41" spans="1:14" ht="23.25" customHeight="1" thickBot="1" x14ac:dyDescent="0.3">
      <c r="A41" s="4" t="s">
        <v>43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29756.59</v>
      </c>
      <c r="J41" s="11">
        <v>0</v>
      </c>
      <c r="K41" s="11">
        <v>0</v>
      </c>
      <c r="L41" s="11">
        <v>68895.45</v>
      </c>
      <c r="M41" s="11">
        <v>0</v>
      </c>
      <c r="N41" s="11">
        <f>SUM(B41:M41)</f>
        <v>98652.04</v>
      </c>
    </row>
    <row r="42" spans="1:14" ht="27" customHeight="1" thickBot="1" x14ac:dyDescent="0.3">
      <c r="A42" s="15" t="s">
        <v>11</v>
      </c>
      <c r="B42" s="19">
        <f>B6+B15-B7</f>
        <v>-516460.12999999995</v>
      </c>
      <c r="C42" s="19">
        <f t="shared" ref="C42:H42" si="23">C6+C15-C7</f>
        <v>-528221.80999999994</v>
      </c>
      <c r="D42" s="19">
        <f t="shared" si="23"/>
        <v>-524840.91999999993</v>
      </c>
      <c r="E42" s="19">
        <f t="shared" si="23"/>
        <v>-547538.97</v>
      </c>
      <c r="F42" s="19">
        <f t="shared" si="23"/>
        <v>-542479.79</v>
      </c>
      <c r="G42" s="19">
        <f t="shared" si="23"/>
        <v>-540383.54</v>
      </c>
      <c r="H42" s="19">
        <f t="shared" si="23"/>
        <v>-576794.17000000004</v>
      </c>
      <c r="I42" s="19">
        <f>I6+I15-I7+I41</f>
        <v>-524697.04000000015</v>
      </c>
      <c r="J42" s="19">
        <f t="shared" ref="J42:M42" si="24">J6+J15-J7+J41</f>
        <v>-523745.43000000011</v>
      </c>
      <c r="K42" s="19">
        <f t="shared" si="24"/>
        <v>-543200.16000000015</v>
      </c>
      <c r="L42" s="19">
        <f t="shared" si="24"/>
        <v>-492565.7900000001</v>
      </c>
      <c r="M42" s="19">
        <f t="shared" si="24"/>
        <v>-490727.8600000001</v>
      </c>
      <c r="N42" s="19">
        <f>N6+N15-N7+N41</f>
        <v>-490727.86000000016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2025-03-19T03:48:37Z</cp:lastPrinted>
  <dcterms:created xsi:type="dcterms:W3CDTF">2011-06-06T03:25:48Z</dcterms:created>
  <dcterms:modified xsi:type="dcterms:W3CDTF">2025-03-19T04:01:13Z</dcterms:modified>
</cp:coreProperties>
</file>