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27" i="1" l="1"/>
  <c r="M16" i="1"/>
  <c r="M26" i="1"/>
  <c r="M8" i="1"/>
  <c r="L37" i="1" l="1"/>
  <c r="M35" i="1" l="1"/>
  <c r="L35" i="1"/>
  <c r="K35" i="1"/>
  <c r="M29" i="1" l="1"/>
  <c r="L29" i="1"/>
  <c r="K29" i="1"/>
  <c r="K37" i="1" l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37" i="1" l="1"/>
  <c r="J35" i="1" l="1"/>
  <c r="I35" i="1"/>
  <c r="H35" i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33" i="1"/>
  <c r="I33" i="1"/>
  <c r="J33" i="1"/>
  <c r="H28" i="1" l="1"/>
  <c r="I28" i="1"/>
  <c r="J28" i="1"/>
  <c r="H25" i="1"/>
  <c r="I25" i="1"/>
  <c r="J25" i="1"/>
  <c r="H24" i="1"/>
  <c r="I24" i="1"/>
  <c r="J24" i="1"/>
  <c r="F37" i="1" l="1"/>
  <c r="G35" i="1" l="1"/>
  <c r="F35" i="1"/>
  <c r="E35" i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7" i="1" l="1"/>
  <c r="E33" i="1" l="1"/>
  <c r="F33" i="1"/>
  <c r="G33" i="1"/>
  <c r="E28" i="1"/>
  <c r="F28" i="1"/>
  <c r="G28" i="1"/>
  <c r="E25" i="1"/>
  <c r="F25" i="1"/>
  <c r="G25" i="1"/>
  <c r="E24" i="1"/>
  <c r="F24" i="1"/>
  <c r="G24" i="1"/>
  <c r="D35" i="1" l="1"/>
  <c r="C35" i="1"/>
  <c r="D29" i="1" l="1"/>
  <c r="C29" i="1"/>
  <c r="B29" i="1"/>
  <c r="N35" i="1" l="1"/>
  <c r="D27" i="1" l="1"/>
  <c r="D16" i="1"/>
  <c r="D26" i="1"/>
  <c r="D8" i="1"/>
  <c r="B37" i="1" l="1"/>
  <c r="C27" i="1" l="1"/>
  <c r="C16" i="1"/>
  <c r="C26" i="1"/>
  <c r="C8" i="1"/>
  <c r="B27" i="1" l="1"/>
  <c r="B16" i="1"/>
  <c r="B26" i="1"/>
  <c r="B8" i="1"/>
  <c r="C33" i="1"/>
  <c r="D33" i="1"/>
  <c r="C28" i="1"/>
  <c r="D28" i="1"/>
  <c r="C25" i="1"/>
  <c r="D25" i="1"/>
  <c r="C24" i="1"/>
  <c r="D24" i="1"/>
  <c r="B28" i="1" l="1"/>
  <c r="N34" i="1" l="1"/>
  <c r="B33" i="1"/>
  <c r="B25" i="1"/>
  <c r="B24" i="1"/>
  <c r="G15" i="1" l="1"/>
  <c r="D15" i="1" l="1"/>
  <c r="N25" i="1" l="1"/>
  <c r="N26" i="1"/>
  <c r="N27" i="1"/>
  <c r="N28" i="1"/>
  <c r="N29" i="1"/>
  <c r="N30" i="1"/>
  <c r="N31" i="1"/>
  <c r="N32" i="1"/>
  <c r="N33" i="1"/>
  <c r="N36" i="1"/>
  <c r="N37" i="1"/>
  <c r="N24" i="1"/>
  <c r="C15" i="1" l="1"/>
  <c r="E15" i="1"/>
  <c r="F15" i="1"/>
  <c r="H15" i="1"/>
  <c r="I15" i="1"/>
  <c r="J15" i="1"/>
  <c r="K15" i="1"/>
  <c r="L15" i="1"/>
  <c r="M15" i="1"/>
  <c r="B15" i="1"/>
  <c r="C7" i="1"/>
  <c r="D7" i="1"/>
  <c r="E7" i="1"/>
  <c r="F7" i="1"/>
  <c r="G7" i="1"/>
  <c r="H7" i="1"/>
  <c r="I7" i="1"/>
  <c r="J7" i="1"/>
  <c r="K7" i="1"/>
  <c r="L7" i="1"/>
  <c r="M7" i="1"/>
  <c r="B7" i="1"/>
  <c r="J38" i="1" l="1"/>
  <c r="J39" i="1" s="1"/>
  <c r="G38" i="1"/>
  <c r="G39" i="1" s="1"/>
  <c r="B41" i="1"/>
  <c r="N15" i="1"/>
  <c r="N7" i="1"/>
  <c r="N17" i="1" l="1"/>
  <c r="N16" i="1" l="1"/>
  <c r="N6" i="1" l="1"/>
  <c r="N41" i="1" s="1"/>
  <c r="N5" i="1"/>
  <c r="N18" i="1" l="1"/>
  <c r="N19" i="1"/>
  <c r="N20" i="1"/>
  <c r="N21" i="1"/>
  <c r="N22" i="1"/>
  <c r="N9" i="1"/>
  <c r="N10" i="1"/>
  <c r="N11" i="1"/>
  <c r="N12" i="1"/>
  <c r="N13" i="1"/>
  <c r="N14" i="1"/>
  <c r="N8" i="1" l="1"/>
  <c r="K38" i="1" l="1"/>
  <c r="K39" i="1" s="1"/>
  <c r="L38" i="1"/>
  <c r="L39" i="1" s="1"/>
  <c r="M38" i="1"/>
  <c r="M39" i="1" s="1"/>
  <c r="I38" i="1"/>
  <c r="I39" i="1" s="1"/>
  <c r="H38" i="1" l="1"/>
  <c r="H39" i="1" s="1"/>
  <c r="F38" i="1" l="1"/>
  <c r="F39" i="1" s="1"/>
  <c r="E38" i="1"/>
  <c r="E39" i="1" s="1"/>
  <c r="C38" i="1"/>
  <c r="C39" i="1" s="1"/>
  <c r="D38" i="1" l="1"/>
  <c r="D39" i="1" s="1"/>
  <c r="B38" i="1" l="1"/>
  <c r="N38" i="1" s="1"/>
  <c r="B39" i="1" l="1"/>
  <c r="B40" i="1" l="1"/>
  <c r="C5" i="1" s="1"/>
  <c r="C40" i="1" s="1"/>
  <c r="N39" i="1"/>
  <c r="N40" i="1" s="1"/>
  <c r="C6" i="1" l="1"/>
  <c r="C41" i="1" s="1"/>
  <c r="D5" i="1"/>
  <c r="D40" i="1" s="1"/>
  <c r="D6" i="1" l="1"/>
  <c r="D41" i="1" s="1"/>
  <c r="E5" i="1"/>
  <c r="E40" i="1" s="1"/>
  <c r="E6" i="1" l="1"/>
  <c r="E41" i="1" s="1"/>
  <c r="F6" i="1" s="1"/>
  <c r="F41" i="1" s="1"/>
  <c r="F5" i="1"/>
  <c r="F40" i="1" s="1"/>
  <c r="G6" i="1" l="1"/>
  <c r="G41" i="1" s="1"/>
  <c r="G5" i="1"/>
  <c r="G40" i="1" s="1"/>
  <c r="H5" i="1" l="1"/>
  <c r="H40" i="1" s="1"/>
  <c r="H6" i="1" l="1"/>
  <c r="H41" i="1" s="1"/>
  <c r="I5" i="1"/>
  <c r="I6" i="1" l="1"/>
  <c r="I41" i="1" s="1"/>
  <c r="I40" i="1"/>
  <c r="J5" i="1" s="1"/>
  <c r="J40" i="1" s="1"/>
  <c r="J6" i="1" l="1"/>
  <c r="J41" i="1" s="1"/>
  <c r="K5" i="1"/>
  <c r="K6" i="1" l="1"/>
  <c r="K41" i="1" s="1"/>
  <c r="K40" i="1"/>
  <c r="L5" i="1" s="1"/>
  <c r="L6" i="1" l="1"/>
  <c r="L41" i="1" s="1"/>
  <c r="L40" i="1"/>
  <c r="M5" i="1" s="1"/>
  <c r="M40" i="1" s="1"/>
  <c r="M6" i="1" l="1"/>
  <c r="M41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<sst xmlns="http://schemas.openxmlformats.org/spreadsheetml/2006/main" count="52" uniqueCount="44">
  <si>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</si>
  <si>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</si>
  <si>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</si>
  <si>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</si>
  <si>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</si>
  <si>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</si>
  <si>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</si>
  <si>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</si>
  <si>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</si>
  <si>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</si>
  <si>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</si>
  <si>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</si>
  <si>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</si>
  <si>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</si>
  <si>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</si>
  <si>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</si>
  <si>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</si>
  <si>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</si>
  <si>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</si>
  <si>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</si>
  <si>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</si>
  <si>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</si>
  <si>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</si>
  <si>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</si>
  <si>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</si>
  <si>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Содержание жилья и текущий ремонт,  ОПУ</t>
  </si>
  <si>
    <t xml:space="preserve">Содержание жилья и текущий ремонт,  ОПУ </t>
  </si>
  <si>
    <t xml:space="preserve">Тех.обслуживание узла учета теплоэнергии 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</si>
  <si>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</si>
  <si>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</si>
  <si>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</si>
  <si>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</si>
  <si>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</si>
  <si>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</si>
  <si>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</si>
  <si>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</si>
  <si>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</si>
  <si>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</si>
  <si>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</si>
  <si>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</si>
  <si>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2024г.</t>
  </si>
  <si>
    <t>Вознаграждение совета МКД</t>
  </si>
  <si>
    <t>Налоги с вознаграждения совета МКД</t>
  </si>
  <si>
    <t xml:space="preserve">                 ОТЧЕТ по дому Можайского, 2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</si>
</sst>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topLeftCell="A28" zoomScale="75" workbookViewId="0">
      <selection activeCell="A28" sqref="A1:I1048576"/>
    </sheetView>
  </sheetViews>
  <sheetFormatPr defaultRowHeight="13.2" x14ac:dyDescent="0.25"/>
  <cols>
    <col min="1" max="1" width="58.6640625" customWidth="1"/>
    <col min="2" max="2" width="14.44140625" customWidth="1"/>
    <col min="3" max="3" width="13.44140625" customWidth="1"/>
    <col min="4" max="4" width="14.5546875" customWidth="1"/>
    <col min="5" max="5" width="14.88671875" customWidth="1"/>
    <col min="6" max="6" width="15" customWidth="1"/>
    <col min="7" max="7" width="14.88671875" customWidth="1"/>
    <col min="8" max="8" width="14" customWidth="1"/>
    <col min="9" max="9" width="13.88671875" customWidth="1"/>
    <col min="10" max="12" width="14.33203125" customWidth="1"/>
    <col min="13" max="13" width="15.88671875" customWidth="1"/>
    <col min="14" max="14" width="15.554687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15</v>
      </c>
      <c r="B5" s="8">
        <v>69630.09</v>
      </c>
      <c r="C5" s="8">
        <f t="shared" ref="C5:D6" si="0">B40</f>
        <v>75416.902310000005</v>
      </c>
      <c r="D5" s="8">
        <f t="shared" si="0"/>
        <v>86703.044240000017</v>
      </c>
      <c r="E5" s="8">
        <f t="shared" ref="E5:E6" si="1">D40</f>
        <v>93704.05753000002</v>
      </c>
      <c r="F5" s="8">
        <f t="shared" ref="F5:F6" si="2">E40</f>
        <v>98012.806340000025</v>
      </c>
      <c r="G5" s="8">
        <f t="shared" ref="G5:G6" si="3">F40</f>
        <v>98647.711420000036</v>
      </c>
      <c r="H5" s="8">
        <f t="shared" ref="H5:H6" si="4">G40</f>
        <v>104928.79471000005</v>
      </c>
      <c r="I5" s="8">
        <f t="shared" ref="I5:I6" si="5">H40</f>
        <v>113666.69725000004</v>
      </c>
      <c r="J5" s="8">
        <f t="shared" ref="J5:J6" si="6">I40</f>
        <v>126741.45008000004</v>
      </c>
      <c r="K5" s="8">
        <f t="shared" ref="K5:K6" si="7">J40</f>
        <v>124072.69462000004</v>
      </c>
      <c r="L5" s="8">
        <f t="shared" ref="L5:L6" si="8">K40</f>
        <v>113101.21765000004</v>
      </c>
      <c r="M5" s="8">
        <f t="shared" ref="M5:M6" si="9">L40</f>
        <v>51316.662100000038</v>
      </c>
      <c r="N5" s="8">
        <f>B5</f>
        <v>69630.09</v>
      </c>
    </row>
    <row r="6" spans="1:18" ht="21" customHeight="1" thickBot="1" x14ac:dyDescent="0.3">
      <c r="A6" s="7" t="s">
        <v>13</v>
      </c>
      <c r="B6" s="8">
        <v>-221411.51</v>
      </c>
      <c r="C6" s="8">
        <f t="shared" si="0"/>
        <v>-225689.27000000002</v>
      </c>
      <c r="D6" s="8">
        <f t="shared" si="0"/>
        <v>-224592.52000000002</v>
      </c>
      <c r="E6" s="8">
        <f t="shared" si="1"/>
        <v>-230719.85000000003</v>
      </c>
      <c r="F6" s="8">
        <f t="shared" si="2"/>
        <v>-233787.64000000004</v>
      </c>
      <c r="G6" s="8">
        <f t="shared" si="3"/>
        <v>-242183.48000000004</v>
      </c>
      <c r="H6" s="8">
        <f t="shared" si="4"/>
        <v>-245582.76000000004</v>
      </c>
      <c r="I6" s="8">
        <f t="shared" si="5"/>
        <v>-252113.27000000005</v>
      </c>
      <c r="J6" s="8">
        <f t="shared" si="6"/>
        <v>-249964.57000000004</v>
      </c>
      <c r="K6" s="8">
        <f t="shared" si="7"/>
        <v>-259515.39</v>
      </c>
      <c r="L6" s="8">
        <f t="shared" si="8"/>
        <v>-264673.94</v>
      </c>
      <c r="M6" s="8">
        <f t="shared" si="9"/>
        <v>-267080.44</v>
      </c>
      <c r="N6" s="8">
        <f>B6</f>
        <v>-221411.51</v>
      </c>
    </row>
    <row r="7" spans="1:18" ht="20.25" customHeight="1" thickBot="1" x14ac:dyDescent="0.3">
      <c r="A7" s="9" t="s">
        <v>12</v>
      </c>
      <c r="B7" s="10">
        <f>SUM(B8:B14)</f>
        <v>36718.33</v>
      </c>
      <c r="C7" s="10">
        <f t="shared" ref="C7:M7" si="10">SUM(C8:C14)</f>
        <v>38000.69</v>
      </c>
      <c r="D7" s="10">
        <f t="shared" si="10"/>
        <v>39106.369999999995</v>
      </c>
      <c r="E7" s="10">
        <f t="shared" si="10"/>
        <v>36543.130000000005</v>
      </c>
      <c r="F7" s="10">
        <f t="shared" si="10"/>
        <v>37693.040000000001</v>
      </c>
      <c r="G7" s="10">
        <f t="shared" si="10"/>
        <v>38000.869999999995</v>
      </c>
      <c r="H7" s="10">
        <f t="shared" si="10"/>
        <v>41055.919999999991</v>
      </c>
      <c r="I7" s="10">
        <f t="shared" si="10"/>
        <v>38280.89</v>
      </c>
      <c r="J7" s="10">
        <f t="shared" si="10"/>
        <v>38620.019999999997</v>
      </c>
      <c r="K7" s="10">
        <f t="shared" si="10"/>
        <v>40654.99</v>
      </c>
      <c r="L7" s="10">
        <f t="shared" si="10"/>
        <v>37681.35</v>
      </c>
      <c r="M7" s="10">
        <f t="shared" si="10"/>
        <v>37067.649999999994</v>
      </c>
      <c r="N7" s="10">
        <f>SUM(B7:M7)</f>
        <v>459423.25</v>
      </c>
    </row>
    <row r="8" spans="1:18" ht="24.75" customHeight="1" thickBot="1" x14ac:dyDescent="0.3">
      <c r="A8" s="4" t="s">
        <v>25</v>
      </c>
      <c r="B8" s="11">
        <f t="shared" ref="B8:G8" si="11">32372.52+1476.97</f>
        <v>33849.49</v>
      </c>
      <c r="C8" s="11">
        <f t="shared" si="11"/>
        <v>33849.49</v>
      </c>
      <c r="D8" s="11">
        <f t="shared" si="11"/>
        <v>33849.49</v>
      </c>
      <c r="E8" s="11">
        <f t="shared" si="11"/>
        <v>33849.49</v>
      </c>
      <c r="F8" s="11">
        <f t="shared" si="11"/>
        <v>33849.49</v>
      </c>
      <c r="G8" s="11">
        <f t="shared" si="11"/>
        <v>33849.49</v>
      </c>
      <c r="H8" s="11">
        <f>32372.52+1476.97</f>
        <v>33849.49</v>
      </c>
      <c r="I8" s="11">
        <f>32383.26+1477.46</f>
        <v>33860.720000000001</v>
      </c>
      <c r="J8" s="11">
        <f>32383.26+1477.46</f>
        <v>33860.720000000001</v>
      </c>
      <c r="K8" s="11">
        <f>32383.26+1477.46</f>
        <v>33860.720000000001</v>
      </c>
      <c r="L8" s="11">
        <f>32383.26+1477.46</f>
        <v>33860.720000000001</v>
      </c>
      <c r="M8" s="11">
        <f>32383.26+1477.46</f>
        <v>33860.720000000001</v>
      </c>
      <c r="N8" s="11">
        <f>SUM(B8:M8)</f>
        <v>406250.02999999991</v>
      </c>
    </row>
    <row r="9" spans="1:18" ht="24.75" customHeight="1" thickBot="1" x14ac:dyDescent="0.3">
      <c r="A9" s="4" t="s">
        <v>16</v>
      </c>
      <c r="B9" s="11">
        <v>40.15</v>
      </c>
      <c r="C9" s="11">
        <v>108.71</v>
      </c>
      <c r="D9" s="11">
        <v>847.2</v>
      </c>
      <c r="E9" s="11">
        <v>28.16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-31.59</v>
      </c>
      <c r="M9" s="11">
        <v>98.45</v>
      </c>
      <c r="N9" s="11">
        <f t="shared" ref="N9:N14" si="12">SUM(B9:M9)</f>
        <v>1091.08</v>
      </c>
    </row>
    <row r="10" spans="1:18" ht="24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2"/>
        <v>0</v>
      </c>
    </row>
    <row r="11" spans="1:18" ht="24.75" customHeight="1" thickBot="1" x14ac:dyDescent="0.3">
      <c r="A11" s="4" t="s">
        <v>18</v>
      </c>
      <c r="B11" s="11">
        <v>163.21</v>
      </c>
      <c r="C11" s="11">
        <v>1377.01</v>
      </c>
      <c r="D11" s="11">
        <v>1744.2</v>
      </c>
      <c r="E11" s="11">
        <v>0</v>
      </c>
      <c r="F11" s="11">
        <v>1178.07</v>
      </c>
      <c r="G11" s="11">
        <v>229.5</v>
      </c>
      <c r="H11" s="11">
        <v>3258.91</v>
      </c>
      <c r="I11" s="11">
        <v>472.62</v>
      </c>
      <c r="J11" s="11">
        <v>811.75</v>
      </c>
      <c r="K11" s="11">
        <v>2846.72</v>
      </c>
      <c r="L11" s="11">
        <v>0</v>
      </c>
      <c r="M11" s="11">
        <v>0</v>
      </c>
      <c r="N11" s="11">
        <f t="shared" si="12"/>
        <v>12081.99</v>
      </c>
    </row>
    <row r="12" spans="1:18" ht="24.75" customHeight="1" thickBot="1" x14ac:dyDescent="0.3">
      <c r="A12" s="4" t="s">
        <v>24</v>
      </c>
      <c r="B12" s="11">
        <v>164.68</v>
      </c>
      <c r="C12" s="11">
        <v>164.68</v>
      </c>
      <c r="D12" s="11">
        <v>164.68</v>
      </c>
      <c r="E12" s="11">
        <v>164.68</v>
      </c>
      <c r="F12" s="11">
        <v>164.68</v>
      </c>
      <c r="G12" s="11">
        <v>164.68</v>
      </c>
      <c r="H12" s="11">
        <v>190.32</v>
      </c>
      <c r="I12" s="11">
        <v>190.35</v>
      </c>
      <c r="J12" s="11">
        <v>190.35</v>
      </c>
      <c r="K12" s="11">
        <v>190.35</v>
      </c>
      <c r="L12" s="11">
        <v>95.02</v>
      </c>
      <c r="M12" s="11">
        <v>-648.72</v>
      </c>
      <c r="N12" s="11">
        <f t="shared" si="12"/>
        <v>1195.7499999999998</v>
      </c>
    </row>
    <row r="13" spans="1:18" ht="24.75" customHeight="1" thickBot="1" x14ac:dyDescent="0.3">
      <c r="A13" s="4" t="s">
        <v>41</v>
      </c>
      <c r="B13" s="11">
        <v>1900.8</v>
      </c>
      <c r="C13" s="11">
        <v>1900.8</v>
      </c>
      <c r="D13" s="11">
        <v>1900.8</v>
      </c>
      <c r="E13" s="11">
        <v>1900.8</v>
      </c>
      <c r="F13" s="11">
        <v>1900.8</v>
      </c>
      <c r="G13" s="11">
        <v>3157.2</v>
      </c>
      <c r="H13" s="11">
        <v>3157.2</v>
      </c>
      <c r="I13" s="11">
        <v>3157.2</v>
      </c>
      <c r="J13" s="11">
        <v>3157.2</v>
      </c>
      <c r="K13" s="11">
        <v>3157.2</v>
      </c>
      <c r="L13" s="11">
        <v>3157.2</v>
      </c>
      <c r="M13" s="11">
        <v>3157.2</v>
      </c>
      <c r="N13" s="11">
        <f t="shared" si="12"/>
        <v>31604.400000000005</v>
      </c>
    </row>
    <row r="14" spans="1:18" ht="24.75" customHeight="1" thickBot="1" x14ac:dyDescent="0.3">
      <c r="A14" s="4" t="s">
        <v>14</v>
      </c>
      <c r="B14" s="11">
        <v>600</v>
      </c>
      <c r="C14" s="11">
        <v>600</v>
      </c>
      <c r="D14" s="11">
        <v>600</v>
      </c>
      <c r="E14" s="11">
        <v>600</v>
      </c>
      <c r="F14" s="11">
        <v>600</v>
      </c>
      <c r="G14" s="11">
        <v>600</v>
      </c>
      <c r="H14" s="11">
        <v>600</v>
      </c>
      <c r="I14" s="11">
        <v>600</v>
      </c>
      <c r="J14" s="11">
        <v>600</v>
      </c>
      <c r="K14" s="11">
        <v>600</v>
      </c>
      <c r="L14" s="11">
        <v>600</v>
      </c>
      <c r="M14" s="11">
        <v>600</v>
      </c>
      <c r="N14" s="11">
        <f t="shared" si="12"/>
        <v>7200</v>
      </c>
    </row>
    <row r="15" spans="1:18" ht="20.25" customHeight="1" thickBot="1" x14ac:dyDescent="0.3">
      <c r="A15" s="12" t="s">
        <v>8</v>
      </c>
      <c r="B15" s="13">
        <f>SUM(B16:B22)</f>
        <v>32440.57</v>
      </c>
      <c r="C15" s="13">
        <f t="shared" ref="C15:M15" si="13">SUM(C16:C22)</f>
        <v>39097.44000000001</v>
      </c>
      <c r="D15" s="13">
        <f t="shared" si="13"/>
        <v>32979.039999999994</v>
      </c>
      <c r="E15" s="13">
        <f t="shared" si="13"/>
        <v>33475.339999999997</v>
      </c>
      <c r="F15" s="13">
        <f t="shared" si="13"/>
        <v>29297.200000000004</v>
      </c>
      <c r="G15" s="13">
        <f t="shared" si="13"/>
        <v>34601.590000000004</v>
      </c>
      <c r="H15" s="13">
        <f t="shared" si="13"/>
        <v>34525.409999999996</v>
      </c>
      <c r="I15" s="13">
        <f t="shared" si="13"/>
        <v>40429.589999999997</v>
      </c>
      <c r="J15" s="13">
        <f t="shared" si="13"/>
        <v>29069.200000000001</v>
      </c>
      <c r="K15" s="13">
        <f t="shared" si="13"/>
        <v>35496.439999999995</v>
      </c>
      <c r="L15" s="13">
        <f t="shared" si="13"/>
        <v>35274.85</v>
      </c>
      <c r="M15" s="13">
        <f t="shared" si="13"/>
        <v>36743.349999999991</v>
      </c>
      <c r="N15" s="13">
        <f>SUM(B15:M15)</f>
        <v>413430.02</v>
      </c>
    </row>
    <row r="16" spans="1:18" ht="24" customHeight="1" thickBot="1" x14ac:dyDescent="0.3">
      <c r="A16" s="4" t="s">
        <v>26</v>
      </c>
      <c r="B16" s="11">
        <f>26261.71+40+0.38+1223.53</f>
        <v>27525.62</v>
      </c>
      <c r="C16" s="11">
        <f>33421.69+44+9.69+2032.16</f>
        <v>35507.540000000008</v>
      </c>
      <c r="D16" s="11">
        <f>28280.7+42+1251.08</f>
        <v>29573.78</v>
      </c>
      <c r="E16" s="11">
        <f>27777.38+1407.85</f>
        <v>29185.23</v>
      </c>
      <c r="F16" s="11">
        <f>26025.23+43.49+1169.49</f>
        <v>27238.210000000003</v>
      </c>
      <c r="G16" s="11">
        <f>29944.43+1275.76</f>
        <v>31220.19</v>
      </c>
      <c r="H16" s="11">
        <f>28871.44+30+1465.88</f>
        <v>30367.32</v>
      </c>
      <c r="I16" s="11">
        <f>32621.16+41.16+1384.03</f>
        <v>34046.35</v>
      </c>
      <c r="J16" s="11">
        <f>24691.15+1129.44</f>
        <v>25820.59</v>
      </c>
      <c r="K16" s="11">
        <f>29333+50+1320.01</f>
        <v>30703.01</v>
      </c>
      <c r="L16" s="11">
        <f>28625.62+41.16+1202.63</f>
        <v>29869.41</v>
      </c>
      <c r="M16" s="11">
        <f>30471.71+50+1534.1</f>
        <v>32055.809999999998</v>
      </c>
      <c r="N16" s="11">
        <f>SUM(B16:M16)</f>
        <v>363113.06</v>
      </c>
    </row>
    <row r="17" spans="1:15" ht="26.25" customHeight="1" thickBot="1" x14ac:dyDescent="0.3">
      <c r="A17" s="4" t="s">
        <v>16</v>
      </c>
      <c r="B17" s="11">
        <v>92</v>
      </c>
      <c r="C17" s="11">
        <v>127.37</v>
      </c>
      <c r="D17" s="11">
        <v>102.39</v>
      </c>
      <c r="E17" s="11">
        <v>640.01</v>
      </c>
      <c r="F17" s="11">
        <v>29.66</v>
      </c>
      <c r="G17" s="11">
        <v>35.729999999999997</v>
      </c>
      <c r="H17" s="11">
        <v>49.94</v>
      </c>
      <c r="I17" s="11">
        <v>26.92</v>
      </c>
      <c r="J17" s="11">
        <v>18.559999999999999</v>
      </c>
      <c r="K17" s="11">
        <v>18.36</v>
      </c>
      <c r="L17" s="11">
        <v>18.16</v>
      </c>
      <c r="M17" s="11">
        <v>26.92</v>
      </c>
      <c r="N17" s="11">
        <f>SUM(B17:M17)</f>
        <v>1186.02</v>
      </c>
    </row>
    <row r="18" spans="1:15" ht="26.25" customHeight="1" thickBot="1" x14ac:dyDescent="0.3">
      <c r="A18" s="4" t="s">
        <v>17</v>
      </c>
      <c r="B18" s="11">
        <v>4.0199999999999996</v>
      </c>
      <c r="C18" s="11">
        <v>6.83</v>
      </c>
      <c r="D18" s="11">
        <v>3.79</v>
      </c>
      <c r="E18" s="11">
        <v>0</v>
      </c>
      <c r="F18" s="11">
        <v>1.65</v>
      </c>
      <c r="G18" s="11">
        <v>3.65</v>
      </c>
      <c r="H18" s="11">
        <v>3.6</v>
      </c>
      <c r="I18" s="11">
        <v>3.55</v>
      </c>
      <c r="J18" s="11">
        <v>3.5</v>
      </c>
      <c r="K18" s="11">
        <v>3.47</v>
      </c>
      <c r="L18" s="11">
        <v>3.41</v>
      </c>
      <c r="M18" s="11">
        <v>3.37</v>
      </c>
      <c r="N18" s="11">
        <f t="shared" ref="N18:N22" si="14">SUM(B18:M18)</f>
        <v>40.839999999999996</v>
      </c>
    </row>
    <row r="19" spans="1:15" ht="26.25" customHeight="1" thickBot="1" x14ac:dyDescent="0.3">
      <c r="A19" s="4" t="s">
        <v>18</v>
      </c>
      <c r="B19" s="11">
        <v>1185.43</v>
      </c>
      <c r="C19" s="11">
        <v>500.01</v>
      </c>
      <c r="D19" s="11">
        <v>1120.17</v>
      </c>
      <c r="E19" s="11">
        <v>1427.62</v>
      </c>
      <c r="F19" s="11">
        <v>17.670000000000002</v>
      </c>
      <c r="G19" s="11">
        <v>1045.93</v>
      </c>
      <c r="H19" s="11">
        <v>311.07</v>
      </c>
      <c r="I19" s="11">
        <v>2885.92</v>
      </c>
      <c r="J19" s="11">
        <v>380.83</v>
      </c>
      <c r="K19" s="11">
        <v>710.94</v>
      </c>
      <c r="L19" s="11">
        <v>2271.2399999999998</v>
      </c>
      <c r="M19" s="11">
        <v>78.3</v>
      </c>
      <c r="N19" s="11">
        <f t="shared" si="14"/>
        <v>11935.13</v>
      </c>
    </row>
    <row r="20" spans="1:15" ht="26.25" customHeight="1" thickBot="1" x14ac:dyDescent="0.3">
      <c r="A20" s="4" t="s">
        <v>24</v>
      </c>
      <c r="B20" s="11">
        <v>131.66999999999999</v>
      </c>
      <c r="C20" s="11">
        <v>165.77</v>
      </c>
      <c r="D20" s="11">
        <v>142.11000000000001</v>
      </c>
      <c r="E20" s="11">
        <v>141.28</v>
      </c>
      <c r="F20" s="11">
        <v>131.61000000000001</v>
      </c>
      <c r="G20" s="11">
        <v>150.65</v>
      </c>
      <c r="H20" s="11">
        <v>145.16999999999999</v>
      </c>
      <c r="I20" s="11">
        <v>186.77</v>
      </c>
      <c r="J20" s="11">
        <v>142.91999999999999</v>
      </c>
      <c r="K20" s="11">
        <v>169.87</v>
      </c>
      <c r="L20" s="11">
        <v>166.07</v>
      </c>
      <c r="M20" s="11">
        <v>87.55</v>
      </c>
      <c r="N20" s="11">
        <f t="shared" si="14"/>
        <v>1761.44</v>
      </c>
    </row>
    <row r="21" spans="1:15" ht="26.25" customHeight="1" thickBot="1" x14ac:dyDescent="0.3">
      <c r="A21" s="4" t="s">
        <v>41</v>
      </c>
      <c r="B21" s="11">
        <v>1501.83</v>
      </c>
      <c r="C21" s="11">
        <v>2389.92</v>
      </c>
      <c r="D21" s="11">
        <v>1636.8</v>
      </c>
      <c r="E21" s="11">
        <v>1681.2</v>
      </c>
      <c r="F21" s="11">
        <v>1478.4</v>
      </c>
      <c r="G21" s="11">
        <v>1745.44</v>
      </c>
      <c r="H21" s="11">
        <v>2848.31</v>
      </c>
      <c r="I21" s="11">
        <v>2880.08</v>
      </c>
      <c r="J21" s="11">
        <v>2302.8000000000002</v>
      </c>
      <c r="K21" s="11">
        <v>2890.79</v>
      </c>
      <c r="L21" s="11">
        <v>2546.56</v>
      </c>
      <c r="M21" s="11">
        <v>2891.4</v>
      </c>
      <c r="N21" s="11">
        <f t="shared" si="14"/>
        <v>26793.530000000002</v>
      </c>
    </row>
    <row r="22" spans="1:15" ht="26.25" customHeight="1" thickBot="1" x14ac:dyDescent="0.3">
      <c r="A22" s="4" t="s">
        <v>14</v>
      </c>
      <c r="B22" s="14">
        <v>2000</v>
      </c>
      <c r="C22" s="14">
        <v>400</v>
      </c>
      <c r="D22" s="14">
        <v>400</v>
      </c>
      <c r="E22" s="14">
        <v>400</v>
      </c>
      <c r="F22" s="14">
        <v>400</v>
      </c>
      <c r="G22" s="14">
        <v>400</v>
      </c>
      <c r="H22" s="14">
        <v>800</v>
      </c>
      <c r="I22" s="14">
        <v>400</v>
      </c>
      <c r="J22" s="14">
        <v>400</v>
      </c>
      <c r="K22" s="11">
        <v>1000</v>
      </c>
      <c r="L22" s="11">
        <v>400</v>
      </c>
      <c r="M22" s="11">
        <v>1600</v>
      </c>
      <c r="N22" s="11">
        <f t="shared" si="14"/>
        <v>8600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5">1507.1*0.6</f>
        <v>904.25999999999988</v>
      </c>
      <c r="C24" s="11">
        <f t="shared" si="15"/>
        <v>904.25999999999988</v>
      </c>
      <c r="D24" s="11">
        <f t="shared" si="15"/>
        <v>904.25999999999988</v>
      </c>
      <c r="E24" s="11">
        <f t="shared" si="15"/>
        <v>904.25999999999988</v>
      </c>
      <c r="F24" s="11">
        <f t="shared" si="15"/>
        <v>904.25999999999988</v>
      </c>
      <c r="G24" s="11">
        <f t="shared" si="15"/>
        <v>904.25999999999988</v>
      </c>
      <c r="H24" s="11">
        <f t="shared" si="15"/>
        <v>904.25999999999988</v>
      </c>
      <c r="I24" s="11">
        <f t="shared" si="15"/>
        <v>904.25999999999988</v>
      </c>
      <c r="J24" s="11">
        <f t="shared" si="15"/>
        <v>904.25999999999988</v>
      </c>
      <c r="K24" s="11">
        <f t="shared" si="15"/>
        <v>904.25999999999988</v>
      </c>
      <c r="L24" s="11">
        <f t="shared" si="15"/>
        <v>904.25999999999988</v>
      </c>
      <c r="M24" s="11">
        <f t="shared" si="15"/>
        <v>904.25999999999988</v>
      </c>
      <c r="N24" s="11">
        <f>SUM(B24:M24)</f>
        <v>10851.12</v>
      </c>
    </row>
    <row r="25" spans="1:15" ht="22.5" customHeight="1" thickBot="1" x14ac:dyDescent="0.3">
      <c r="A25" s="4" t="s">
        <v>2</v>
      </c>
      <c r="B25" s="11">
        <f t="shared" ref="B25:M25" si="16">1507.1*0.17</f>
        <v>256.20699999999999</v>
      </c>
      <c r="C25" s="11">
        <f t="shared" si="16"/>
        <v>256.20699999999999</v>
      </c>
      <c r="D25" s="11">
        <f t="shared" si="16"/>
        <v>256.20699999999999</v>
      </c>
      <c r="E25" s="11">
        <f t="shared" si="16"/>
        <v>256.20699999999999</v>
      </c>
      <c r="F25" s="11">
        <f t="shared" si="16"/>
        <v>256.20699999999999</v>
      </c>
      <c r="G25" s="11">
        <f t="shared" si="16"/>
        <v>256.20699999999999</v>
      </c>
      <c r="H25" s="11">
        <f t="shared" si="16"/>
        <v>256.20699999999999</v>
      </c>
      <c r="I25" s="11">
        <f t="shared" si="16"/>
        <v>256.20699999999999</v>
      </c>
      <c r="J25" s="11">
        <f t="shared" si="16"/>
        <v>256.20699999999999</v>
      </c>
      <c r="K25" s="11">
        <f t="shared" si="16"/>
        <v>256.20699999999999</v>
      </c>
      <c r="L25" s="11">
        <f t="shared" si="16"/>
        <v>256.20699999999999</v>
      </c>
      <c r="M25" s="11">
        <f t="shared" si="16"/>
        <v>256.20699999999999</v>
      </c>
      <c r="N25" s="11">
        <f t="shared" ref="N25:N37" si="17">SUM(B25:M25)</f>
        <v>3074.483999999999</v>
      </c>
    </row>
    <row r="26" spans="1:15" ht="21" customHeight="1" thickBot="1" x14ac:dyDescent="0.3">
      <c r="A26" s="4" t="s">
        <v>3</v>
      </c>
      <c r="B26" s="11">
        <f>36118.33*2.3%</f>
        <v>830.72158999999999</v>
      </c>
      <c r="C26" s="11">
        <f>37400.69*2.3%</f>
        <v>860.21587</v>
      </c>
      <c r="D26" s="11">
        <f>38506.37*2.3%</f>
        <v>885.64651000000003</v>
      </c>
      <c r="E26" s="11">
        <f>35943.13*2.3%</f>
        <v>826.69198999999992</v>
      </c>
      <c r="F26" s="11">
        <f>37093.04*2.3%</f>
        <v>853.13991999999996</v>
      </c>
      <c r="G26" s="11">
        <f>37400.87*2.3%</f>
        <v>860.22001</v>
      </c>
      <c r="H26" s="11">
        <f>40455.92*2.3%</f>
        <v>930.48615999999993</v>
      </c>
      <c r="I26" s="11">
        <f>37680.89*2.3%</f>
        <v>866.66046999999992</v>
      </c>
      <c r="J26" s="11">
        <f>38020.02*2.3%</f>
        <v>874.4604599999999</v>
      </c>
      <c r="K26" s="11">
        <f>40054.99*2.3%</f>
        <v>921.26476999999988</v>
      </c>
      <c r="L26" s="11">
        <f>37081.35*2.3%</f>
        <v>852.87104999999997</v>
      </c>
      <c r="M26" s="11">
        <f>36467.65*2.3%</f>
        <v>838.75594999999998</v>
      </c>
      <c r="N26" s="11">
        <f t="shared" si="17"/>
        <v>10401.134750000001</v>
      </c>
    </row>
    <row r="27" spans="1:15" ht="23.25" customHeight="1" thickBot="1" x14ac:dyDescent="0.3">
      <c r="A27" s="4" t="s">
        <v>4</v>
      </c>
      <c r="B27" s="11">
        <f>30440.57*3%</f>
        <v>913.21709999999996</v>
      </c>
      <c r="C27" s="11">
        <f>38697.44*3%</f>
        <v>1160.9232</v>
      </c>
      <c r="D27" s="11">
        <f>32579.04*3%</f>
        <v>977.37120000000004</v>
      </c>
      <c r="E27" s="11">
        <f>33075.34*3%</f>
        <v>992.26019999999983</v>
      </c>
      <c r="F27" s="11">
        <f>28897.2*3%</f>
        <v>866.91599999999994</v>
      </c>
      <c r="G27" s="11">
        <f>34201.59*3%</f>
        <v>1026.0476999999998</v>
      </c>
      <c r="H27" s="11">
        <f>33725.41*3%</f>
        <v>1011.7623000000001</v>
      </c>
      <c r="I27" s="11">
        <f>40029.59*3%</f>
        <v>1200.8876999999998</v>
      </c>
      <c r="J27" s="11">
        <f>28669.2*3%</f>
        <v>860.07600000000002</v>
      </c>
      <c r="K27" s="11">
        <f>34496.44*3%</f>
        <v>1034.8932</v>
      </c>
      <c r="L27" s="11">
        <f>34874.85*3%</f>
        <v>1046.2455</v>
      </c>
      <c r="M27" s="11">
        <f>35143.35*3%</f>
        <v>1054.3004999999998</v>
      </c>
      <c r="N27" s="11">
        <f t="shared" si="17"/>
        <v>12144.900599999999</v>
      </c>
    </row>
    <row r="28" spans="1:15" ht="23.25" customHeight="1" thickBot="1" x14ac:dyDescent="0.3">
      <c r="A28" s="4" t="s">
        <v>9</v>
      </c>
      <c r="B28" s="19">
        <f>1507.1*9.7</f>
        <v>14618.869999999997</v>
      </c>
      <c r="C28" s="19">
        <f t="shared" ref="C28:M28" si="18">1507.1*9.7</f>
        <v>14618.869999999997</v>
      </c>
      <c r="D28" s="19">
        <f t="shared" si="18"/>
        <v>14618.869999999997</v>
      </c>
      <c r="E28" s="19">
        <f t="shared" si="18"/>
        <v>14618.869999999997</v>
      </c>
      <c r="F28" s="19">
        <f t="shared" si="18"/>
        <v>14618.869999999997</v>
      </c>
      <c r="G28" s="19">
        <f t="shared" si="18"/>
        <v>14618.869999999997</v>
      </c>
      <c r="H28" s="19">
        <f t="shared" si="18"/>
        <v>14618.869999999997</v>
      </c>
      <c r="I28" s="19">
        <f t="shared" si="18"/>
        <v>14618.869999999997</v>
      </c>
      <c r="J28" s="19">
        <f t="shared" si="18"/>
        <v>14618.869999999997</v>
      </c>
      <c r="K28" s="19">
        <f t="shared" si="18"/>
        <v>14618.869999999997</v>
      </c>
      <c r="L28" s="19">
        <f t="shared" si="18"/>
        <v>14618.869999999997</v>
      </c>
      <c r="M28" s="19">
        <f t="shared" si="18"/>
        <v>14618.869999999997</v>
      </c>
      <c r="N28" s="11">
        <f t="shared" si="17"/>
        <v>175426.43999999997</v>
      </c>
    </row>
    <row r="29" spans="1:15" ht="21.6" customHeight="1" thickBot="1" x14ac:dyDescent="0.3">
      <c r="A29" s="4" t="s">
        <v>19</v>
      </c>
      <c r="B29" s="11">
        <f>0+108.68</f>
        <v>108.68</v>
      </c>
      <c r="C29" s="11">
        <f>675.34+171.85</f>
        <v>847.19</v>
      </c>
      <c r="D29" s="11">
        <f>0+28.15</f>
        <v>28.15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0+102.94</f>
        <v>102.94</v>
      </c>
      <c r="L29" s="11">
        <f>0+98.44</f>
        <v>98.44</v>
      </c>
      <c r="M29" s="11">
        <f>0+126.88</f>
        <v>126.88</v>
      </c>
      <c r="N29" s="11">
        <f t="shared" si="17"/>
        <v>1312.2800000000002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7"/>
        <v>0</v>
      </c>
    </row>
    <row r="31" spans="1:15" ht="26.25" customHeight="1" thickBot="1" x14ac:dyDescent="0.3">
      <c r="A31" s="4" t="s">
        <v>21</v>
      </c>
      <c r="B31" s="11">
        <v>1377</v>
      </c>
      <c r="C31" s="11">
        <v>1744.2</v>
      </c>
      <c r="D31" s="11">
        <v>0</v>
      </c>
      <c r="E31" s="11">
        <v>1178.0999999999999</v>
      </c>
      <c r="F31" s="11">
        <v>229.5</v>
      </c>
      <c r="G31" s="11">
        <v>3258.9</v>
      </c>
      <c r="H31" s="11">
        <v>472.6</v>
      </c>
      <c r="I31" s="11">
        <v>811.76</v>
      </c>
      <c r="J31" s="11">
        <v>2846.72</v>
      </c>
      <c r="K31" s="11">
        <v>0</v>
      </c>
      <c r="L31" s="11">
        <v>0</v>
      </c>
      <c r="M31" s="11">
        <v>0</v>
      </c>
      <c r="N31" s="11">
        <f t="shared" si="17"/>
        <v>11918.779999999999</v>
      </c>
    </row>
    <row r="32" spans="1:15" ht="21" customHeight="1" thickBot="1" x14ac:dyDescent="0.3">
      <c r="A32" s="4" t="s">
        <v>24</v>
      </c>
      <c r="B32" s="11">
        <v>164.74</v>
      </c>
      <c r="C32" s="11">
        <v>164.74</v>
      </c>
      <c r="D32" s="11">
        <v>164.74</v>
      </c>
      <c r="E32" s="11">
        <v>164.74</v>
      </c>
      <c r="F32" s="11">
        <v>164.74</v>
      </c>
      <c r="G32" s="11">
        <v>164.74</v>
      </c>
      <c r="H32" s="11">
        <v>95.02</v>
      </c>
      <c r="I32" s="11">
        <v>95.02</v>
      </c>
      <c r="J32" s="11">
        <v>95.02</v>
      </c>
      <c r="K32" s="11">
        <v>95.02</v>
      </c>
      <c r="L32" s="11">
        <v>95.02</v>
      </c>
      <c r="M32" s="11">
        <v>95.02</v>
      </c>
      <c r="N32" s="11">
        <f t="shared" si="17"/>
        <v>1558.56</v>
      </c>
    </row>
    <row r="33" spans="1:14" ht="22.5" customHeight="1" thickBot="1" x14ac:dyDescent="0.3">
      <c r="A33" s="4" t="s">
        <v>6</v>
      </c>
      <c r="B33" s="19">
        <f t="shared" ref="B33:M33" si="19">1507.1*3.22</f>
        <v>4852.8620000000001</v>
      </c>
      <c r="C33" s="19">
        <f t="shared" si="19"/>
        <v>4852.8620000000001</v>
      </c>
      <c r="D33" s="19">
        <f t="shared" si="19"/>
        <v>4852.8620000000001</v>
      </c>
      <c r="E33" s="19">
        <f t="shared" si="19"/>
        <v>4852.8620000000001</v>
      </c>
      <c r="F33" s="19">
        <f t="shared" si="19"/>
        <v>4852.8620000000001</v>
      </c>
      <c r="G33" s="19">
        <f t="shared" si="19"/>
        <v>4852.8620000000001</v>
      </c>
      <c r="H33" s="19">
        <f t="shared" si="19"/>
        <v>4852.8620000000001</v>
      </c>
      <c r="I33" s="19">
        <f t="shared" si="19"/>
        <v>4852.8620000000001</v>
      </c>
      <c r="J33" s="19">
        <f t="shared" si="19"/>
        <v>4852.8620000000001</v>
      </c>
      <c r="K33" s="19">
        <f t="shared" si="19"/>
        <v>4852.8620000000001</v>
      </c>
      <c r="L33" s="19">
        <f t="shared" si="19"/>
        <v>4852.8620000000001</v>
      </c>
      <c r="M33" s="19">
        <f t="shared" si="19"/>
        <v>4852.8620000000001</v>
      </c>
      <c r="N33" s="11">
        <f t="shared" si="17"/>
        <v>58234.344000000005</v>
      </c>
    </row>
    <row r="34" spans="1:14" ht="21.75" customHeight="1" thickBot="1" x14ac:dyDescent="0.3">
      <c r="A34" s="4" t="s">
        <v>41</v>
      </c>
      <c r="B34" s="11">
        <v>0</v>
      </c>
      <c r="C34" s="11">
        <v>856.28</v>
      </c>
      <c r="D34" s="11">
        <v>1361.94</v>
      </c>
      <c r="E34" s="11">
        <v>932.76</v>
      </c>
      <c r="F34" s="11">
        <v>958.84</v>
      </c>
      <c r="G34" s="11">
        <v>842.88</v>
      </c>
      <c r="H34" s="11">
        <v>994.81</v>
      </c>
      <c r="I34" s="11">
        <v>1622.82</v>
      </c>
      <c r="J34" s="11">
        <v>1642.06</v>
      </c>
      <c r="K34" s="11">
        <v>1312.96</v>
      </c>
      <c r="L34" s="11">
        <v>1647.55</v>
      </c>
      <c r="M34" s="11">
        <v>1451.59</v>
      </c>
      <c r="N34" s="11">
        <f t="shared" ref="N34:N35" si="20">SUM(B34:M34)</f>
        <v>13624.489999999998</v>
      </c>
    </row>
    <row r="35" spans="1:14" ht="21.75" customHeight="1" thickBot="1" x14ac:dyDescent="0.3">
      <c r="A35" s="4" t="s">
        <v>42</v>
      </c>
      <c r="B35" s="11">
        <v>0</v>
      </c>
      <c r="C35" s="11">
        <f>450.55+195</f>
        <v>645.54999999999995</v>
      </c>
      <c r="D35" s="11">
        <f>716.98+311</f>
        <v>1027.98</v>
      </c>
      <c r="E35" s="11">
        <f>213+491.04</f>
        <v>704.04</v>
      </c>
      <c r="F35" s="11">
        <f>218+504.36</f>
        <v>722.36</v>
      </c>
      <c r="G35" s="11">
        <f>192+443.52</f>
        <v>635.52</v>
      </c>
      <c r="H35" s="11">
        <f>227+523.63</f>
        <v>750.63</v>
      </c>
      <c r="I35" s="11">
        <f>371+854.49</f>
        <v>1225.49</v>
      </c>
      <c r="J35" s="11">
        <f>374+864.02</f>
        <v>1238.02</v>
      </c>
      <c r="K35" s="11">
        <f>299+690.84</f>
        <v>989.84</v>
      </c>
      <c r="L35" s="11">
        <f>376+867.24</f>
        <v>1243.24</v>
      </c>
      <c r="M35" s="11">
        <f>331+763.97</f>
        <v>1094.97</v>
      </c>
      <c r="N35" s="11">
        <f t="shared" si="20"/>
        <v>10277.64</v>
      </c>
    </row>
    <row r="36" spans="1:14" ht="22.5" customHeight="1" thickBot="1" x14ac:dyDescent="0.3">
      <c r="A36" s="4" t="s">
        <v>27</v>
      </c>
      <c r="B36" s="11">
        <v>900</v>
      </c>
      <c r="C36" s="11">
        <v>900</v>
      </c>
      <c r="D36" s="11">
        <v>900</v>
      </c>
      <c r="E36" s="11">
        <v>900</v>
      </c>
      <c r="F36" s="11">
        <v>900</v>
      </c>
      <c r="G36" s="11">
        <v>900</v>
      </c>
      <c r="H36" s="11">
        <v>900</v>
      </c>
      <c r="I36" s="11">
        <v>900</v>
      </c>
      <c r="J36" s="11">
        <v>900</v>
      </c>
      <c r="K36" s="11">
        <v>900</v>
      </c>
      <c r="L36" s="11">
        <v>900</v>
      </c>
      <c r="M36" s="11">
        <v>900</v>
      </c>
      <c r="N36" s="11">
        <f t="shared" si="17"/>
        <v>10800</v>
      </c>
    </row>
    <row r="37" spans="1:14" ht="24" customHeight="1" thickBot="1" x14ac:dyDescent="0.3">
      <c r="A37" s="4" t="s">
        <v>10</v>
      </c>
      <c r="B37" s="11">
        <f>1727.2</f>
        <v>1727.2</v>
      </c>
      <c r="C37" s="11">
        <v>0</v>
      </c>
      <c r="D37" s="11">
        <v>0</v>
      </c>
      <c r="E37" s="11">
        <f>2835.8</f>
        <v>2835.8</v>
      </c>
      <c r="F37" s="11">
        <f>1360+1974.6</f>
        <v>3334.6</v>
      </c>
      <c r="G37" s="11">
        <v>0</v>
      </c>
      <c r="H37" s="11">
        <v>0</v>
      </c>
      <c r="I37" s="11">
        <v>0</v>
      </c>
      <c r="J37" s="11">
        <f>2649.4</f>
        <v>2649.4</v>
      </c>
      <c r="K37" s="11">
        <f>2599.6+8247.8+2599.6+7031.8</f>
        <v>20478.8</v>
      </c>
      <c r="L37" s="11">
        <f>9449.3+974.6+60119.94</f>
        <v>70543.839999999997</v>
      </c>
      <c r="M37" s="11">
        <v>0</v>
      </c>
      <c r="N37" s="11">
        <f t="shared" si="17"/>
        <v>101569.64</v>
      </c>
    </row>
    <row r="38" spans="1:14" ht="22.5" customHeight="1" thickBot="1" x14ac:dyDescent="0.3">
      <c r="A38" s="9" t="s">
        <v>22</v>
      </c>
      <c r="B38" s="10">
        <f t="shared" ref="B38:M38" si="21">SUM(B24:B37)</f>
        <v>26653.757689999999</v>
      </c>
      <c r="C38" s="10">
        <f t="shared" si="21"/>
        <v>27811.298069999997</v>
      </c>
      <c r="D38" s="10">
        <f t="shared" si="21"/>
        <v>25978.026709999998</v>
      </c>
      <c r="E38" s="10">
        <f t="shared" si="21"/>
        <v>29166.591189999996</v>
      </c>
      <c r="F38" s="10">
        <f t="shared" si="21"/>
        <v>28662.29492</v>
      </c>
      <c r="G38" s="10">
        <f t="shared" si="21"/>
        <v>28320.506710000001</v>
      </c>
      <c r="H38" s="10">
        <f t="shared" si="21"/>
        <v>25787.507460000001</v>
      </c>
      <c r="I38" s="10">
        <f t="shared" si="21"/>
        <v>27354.837169999999</v>
      </c>
      <c r="J38" s="10">
        <f t="shared" si="21"/>
        <v>31737.955460000001</v>
      </c>
      <c r="K38" s="10">
        <f t="shared" si="21"/>
        <v>46467.916969999991</v>
      </c>
      <c r="L38" s="10">
        <f t="shared" si="21"/>
        <v>97059.405549999996</v>
      </c>
      <c r="M38" s="10">
        <f t="shared" si="21"/>
        <v>26193.71545</v>
      </c>
      <c r="N38" s="10">
        <f>SUM(B38:M38)</f>
        <v>421193.81334999995</v>
      </c>
    </row>
    <row r="39" spans="1:14" ht="23.25" customHeight="1" thickBot="1" x14ac:dyDescent="0.3">
      <c r="A39" s="4" t="s">
        <v>5</v>
      </c>
      <c r="B39" s="18">
        <f t="shared" ref="B39:M39" si="22">B15-B38</f>
        <v>5786.8123100000012</v>
      </c>
      <c r="C39" s="18">
        <f t="shared" si="22"/>
        <v>11286.141930000013</v>
      </c>
      <c r="D39" s="18">
        <f t="shared" si="22"/>
        <v>7001.0132899999953</v>
      </c>
      <c r="E39" s="18">
        <f t="shared" si="22"/>
        <v>4308.748810000001</v>
      </c>
      <c r="F39" s="18">
        <f t="shared" si="22"/>
        <v>634.90508000000409</v>
      </c>
      <c r="G39" s="18">
        <f t="shared" si="22"/>
        <v>6281.0832900000023</v>
      </c>
      <c r="H39" s="18">
        <f t="shared" si="22"/>
        <v>8737.9025399999955</v>
      </c>
      <c r="I39" s="18">
        <f t="shared" si="22"/>
        <v>13074.752829999998</v>
      </c>
      <c r="J39" s="18">
        <f t="shared" si="22"/>
        <v>-2668.7554600000003</v>
      </c>
      <c r="K39" s="18">
        <f t="shared" si="22"/>
        <v>-10971.476969999996</v>
      </c>
      <c r="L39" s="18">
        <f t="shared" si="22"/>
        <v>-61784.555549999997</v>
      </c>
      <c r="M39" s="18">
        <f t="shared" si="22"/>
        <v>10549.634549999992</v>
      </c>
      <c r="N39" s="11">
        <f>SUM(B39:M39)</f>
        <v>-7763.793349999989</v>
      </c>
    </row>
    <row r="40" spans="1:14" ht="23.25" customHeight="1" thickBot="1" x14ac:dyDescent="0.3">
      <c r="A40" s="4" t="s">
        <v>7</v>
      </c>
      <c r="B40" s="14">
        <f t="shared" ref="B40:N40" si="23">B5+B39</f>
        <v>75416.902310000005</v>
      </c>
      <c r="C40" s="14">
        <f t="shared" si="23"/>
        <v>86703.044240000017</v>
      </c>
      <c r="D40" s="14">
        <f t="shared" si="23"/>
        <v>93704.05753000002</v>
      </c>
      <c r="E40" s="14">
        <f t="shared" si="23"/>
        <v>98012.806340000025</v>
      </c>
      <c r="F40" s="14">
        <f t="shared" si="23"/>
        <v>98647.711420000036</v>
      </c>
      <c r="G40" s="14">
        <f t="shared" si="23"/>
        <v>104928.79471000005</v>
      </c>
      <c r="H40" s="20">
        <f t="shared" si="23"/>
        <v>113666.69725000004</v>
      </c>
      <c r="I40" s="20">
        <f t="shared" si="23"/>
        <v>126741.45008000004</v>
      </c>
      <c r="J40" s="20">
        <f t="shared" si="23"/>
        <v>124072.69462000004</v>
      </c>
      <c r="K40" s="20">
        <f t="shared" si="23"/>
        <v>113101.21765000004</v>
      </c>
      <c r="L40" s="20">
        <f t="shared" si="23"/>
        <v>51316.662100000038</v>
      </c>
      <c r="M40" s="20">
        <f t="shared" si="23"/>
        <v>61866.296650000033</v>
      </c>
      <c r="N40" s="20">
        <f t="shared" si="23"/>
        <v>61866.296650000004</v>
      </c>
    </row>
    <row r="41" spans="1:14" ht="27" customHeight="1" thickBot="1" x14ac:dyDescent="0.3">
      <c r="A41" s="15" t="s">
        <v>11</v>
      </c>
      <c r="B41" s="14">
        <f>B6-B7+B15</f>
        <v>-225689.27000000002</v>
      </c>
      <c r="C41" s="14">
        <f t="shared" ref="C41:N41" si="24">C6-C7+C15</f>
        <v>-224592.52000000002</v>
      </c>
      <c r="D41" s="14">
        <f t="shared" si="24"/>
        <v>-230719.85000000003</v>
      </c>
      <c r="E41" s="14">
        <f t="shared" si="24"/>
        <v>-233787.64000000004</v>
      </c>
      <c r="F41" s="14">
        <f t="shared" si="24"/>
        <v>-242183.48000000004</v>
      </c>
      <c r="G41" s="14">
        <f t="shared" si="24"/>
        <v>-245582.76000000004</v>
      </c>
      <c r="H41" s="14">
        <f t="shared" si="24"/>
        <v>-252113.27000000005</v>
      </c>
      <c r="I41" s="14">
        <f t="shared" si="24"/>
        <v>-249964.57000000004</v>
      </c>
      <c r="J41" s="14">
        <f t="shared" si="24"/>
        <v>-259515.39</v>
      </c>
      <c r="K41" s="14">
        <f t="shared" si="24"/>
        <v>-264673.94</v>
      </c>
      <c r="L41" s="14">
        <f t="shared" si="24"/>
        <v>-267080.44</v>
      </c>
      <c r="M41" s="14">
        <f t="shared" si="24"/>
        <v>-267404.74</v>
      </c>
      <c r="N41" s="14">
        <f t="shared" si="24"/>
        <v>-267404.74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2025-03-05T07:29:59Z</cp:lastPrinted>
  <dcterms:created xsi:type="dcterms:W3CDTF">2011-06-06T03:25:48Z</dcterms:created>
  <dcterms:modified xsi:type="dcterms:W3CDTF">2025-03-05T07:38:11Z</dcterms:modified>
</cp:coreProperties>
</file>