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/>
</workbook>
</file>

<file path=xl/calcChain.xml><?xml version="1.0" encoding="utf-8"?>
<calcChain xmlns="http://schemas.openxmlformats.org/spreadsheetml/2006/main">
  <c r="M37" i="1" l="1"/>
  <c r="L37" i="1" l="1"/>
  <c r="M35" i="1" l="1"/>
  <c r="L35" i="1"/>
  <c r="K35" i="1"/>
  <c r="N25" i="1" l="1"/>
  <c r="N26" i="1"/>
  <c r="N27" i="1"/>
  <c r="N28" i="1"/>
  <c r="N29" i="1"/>
  <c r="N30" i="1"/>
  <c r="N31" i="1"/>
  <c r="N24" i="1"/>
  <c r="N32" i="1"/>
  <c r="N33" i="1"/>
  <c r="L32" i="1"/>
  <c r="M32" i="1"/>
  <c r="K32" i="1"/>
  <c r="L29" i="1"/>
  <c r="M29" i="1"/>
  <c r="K29" i="1"/>
  <c r="M27" i="1" l="1"/>
  <c r="M26" i="1"/>
  <c r="L27" i="1" l="1"/>
  <c r="L26" i="1"/>
  <c r="K27" i="1" l="1"/>
  <c r="K26" i="1"/>
  <c r="K33" i="1" l="1"/>
  <c r="L33" i="1"/>
  <c r="M33" i="1"/>
  <c r="K28" i="1"/>
  <c r="L28" i="1"/>
  <c r="M28" i="1"/>
  <c r="K25" i="1"/>
  <c r="L25" i="1"/>
  <c r="M25" i="1"/>
  <c r="K24" i="1"/>
  <c r="L24" i="1"/>
  <c r="M24" i="1"/>
  <c r="J37" i="1" l="1"/>
  <c r="J32" i="1" l="1"/>
  <c r="I32" i="1"/>
  <c r="H32" i="1"/>
  <c r="I29" i="1" l="1"/>
  <c r="J29" i="1"/>
  <c r="H29" i="1"/>
  <c r="J35" i="1" l="1"/>
  <c r="J27" i="1" l="1"/>
  <c r="J26" i="1"/>
  <c r="I27" i="1" l="1"/>
  <c r="I16" i="1"/>
  <c r="I26" i="1"/>
  <c r="H37" i="1" l="1"/>
  <c r="H27" i="1" l="1"/>
  <c r="H16" i="1"/>
  <c r="H26" i="1"/>
  <c r="I33" i="1" l="1"/>
  <c r="J33" i="1"/>
  <c r="H33" i="1"/>
  <c r="H28" i="1" l="1"/>
  <c r="I28" i="1"/>
  <c r="J28" i="1"/>
  <c r="H25" i="1"/>
  <c r="I25" i="1"/>
  <c r="J25" i="1"/>
  <c r="H24" i="1"/>
  <c r="I24" i="1"/>
  <c r="J24" i="1"/>
  <c r="G29" i="1" l="1"/>
  <c r="F29" i="1"/>
  <c r="E29" i="1"/>
  <c r="N35" i="1" l="1"/>
  <c r="N36" i="1"/>
  <c r="F35" i="1"/>
  <c r="F37" i="1" l="1"/>
  <c r="G27" i="1" l="1"/>
  <c r="G16" i="1"/>
  <c r="G26" i="1"/>
  <c r="F27" i="1" l="1"/>
  <c r="F26" i="1"/>
  <c r="E27" i="1" l="1"/>
  <c r="E26" i="1"/>
  <c r="E37" i="1" l="1"/>
  <c r="E33" i="1" l="1"/>
  <c r="F33" i="1"/>
  <c r="G33" i="1"/>
  <c r="E28" i="1"/>
  <c r="F28" i="1"/>
  <c r="G28" i="1"/>
  <c r="E25" i="1"/>
  <c r="F25" i="1"/>
  <c r="G25" i="1"/>
  <c r="E24" i="1"/>
  <c r="F24" i="1"/>
  <c r="G24" i="1"/>
  <c r="C29" i="1" l="1"/>
  <c r="D29" i="1"/>
  <c r="B29" i="1"/>
  <c r="D27" i="1" l="1"/>
  <c r="D16" i="1"/>
  <c r="D26" i="1"/>
  <c r="B37" i="1" l="1"/>
  <c r="C27" i="1" l="1"/>
  <c r="C26" i="1"/>
  <c r="B27" i="1" l="1"/>
  <c r="B16" i="1"/>
  <c r="B26" i="1"/>
  <c r="C33" i="1"/>
  <c r="D33" i="1"/>
  <c r="C28" i="1"/>
  <c r="D28" i="1"/>
  <c r="C25" i="1"/>
  <c r="D25" i="1"/>
  <c r="C24" i="1"/>
  <c r="D24" i="1"/>
  <c r="B33" i="1" l="1"/>
  <c r="B28" i="1"/>
  <c r="B25" i="1"/>
  <c r="B24" i="1"/>
  <c r="N6" i="1" l="1"/>
  <c r="N5" i="1"/>
  <c r="L7" i="1" l="1"/>
  <c r="N34" i="1"/>
  <c r="N37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N14" i="1"/>
  <c r="N8" i="1"/>
  <c r="K7" i="1"/>
  <c r="M7" i="1"/>
  <c r="M38" i="1" l="1"/>
  <c r="M39" i="1" s="1"/>
  <c r="L38" i="1"/>
  <c r="L39" i="1" s="1"/>
  <c r="K38" i="1"/>
  <c r="K39" i="1" l="1"/>
  <c r="H15" i="1" l="1"/>
  <c r="I15" i="1"/>
  <c r="J15" i="1"/>
  <c r="H7" i="1"/>
  <c r="I7" i="1"/>
  <c r="J7" i="1"/>
  <c r="J38" i="1" l="1"/>
  <c r="J39" i="1" s="1"/>
  <c r="I38" i="1"/>
  <c r="I39" i="1" s="1"/>
  <c r="H38" i="1" l="1"/>
  <c r="E15" i="1"/>
  <c r="F15" i="1"/>
  <c r="G15" i="1"/>
  <c r="E7" i="1"/>
  <c r="F7" i="1"/>
  <c r="G7" i="1"/>
  <c r="D15" i="1"/>
  <c r="D7" i="1"/>
  <c r="C15" i="1"/>
  <c r="C7" i="1"/>
  <c r="B15" i="1"/>
  <c r="B7" i="1"/>
  <c r="G38" i="1" l="1"/>
  <c r="G39" i="1" s="1"/>
  <c r="F38" i="1"/>
  <c r="F39" i="1" s="1"/>
  <c r="D38" i="1"/>
  <c r="C38" i="1"/>
  <c r="N15" i="1"/>
  <c r="N7" i="1"/>
  <c r="E38" i="1"/>
  <c r="B38" i="1"/>
  <c r="H39" i="1"/>
  <c r="B41" i="1"/>
  <c r="C6" i="1" s="1"/>
  <c r="C41" i="1" s="1"/>
  <c r="D6" i="1" s="1"/>
  <c r="N38" i="1" l="1"/>
  <c r="E39" i="1"/>
  <c r="N41" i="1"/>
  <c r="D41" i="1"/>
  <c r="E6" i="1" s="1"/>
  <c r="B39" i="1"/>
  <c r="D39" i="1"/>
  <c r="B40" i="1" l="1"/>
  <c r="C5" i="1" s="1"/>
  <c r="E41" i="1"/>
  <c r="F6" i="1" s="1"/>
  <c r="C39" i="1"/>
  <c r="N39" i="1"/>
  <c r="N40" i="1" s="1"/>
  <c r="C40" i="1" l="1"/>
  <c r="D5" i="1" s="1"/>
  <c r="D40" i="1" s="1"/>
  <c r="E5" i="1" s="1"/>
  <c r="E40" i="1" s="1"/>
  <c r="F41" i="1"/>
  <c r="G6" i="1" s="1"/>
  <c r="G41" i="1" s="1"/>
  <c r="H6" i="1" l="1"/>
  <c r="F5" i="1"/>
  <c r="F40" i="1" s="1"/>
  <c r="H41" i="1" l="1"/>
  <c r="I6" i="1" s="1"/>
  <c r="G5" i="1"/>
  <c r="G40" i="1" s="1"/>
  <c r="I41" i="1" l="1"/>
  <c r="J6" i="1" s="1"/>
  <c r="J41" i="1" s="1"/>
  <c r="K6" i="1" s="1"/>
  <c r="K41" i="1" s="1"/>
  <c r="H5" i="1"/>
  <c r="H40" i="1" s="1"/>
  <c r="I5" i="1" l="1"/>
  <c r="I40" i="1" s="1"/>
  <c r="L6" i="1"/>
  <c r="L41" i="1" s="1"/>
  <c r="J5" i="1" l="1"/>
  <c r="J40" i="1" s="1"/>
  <c r="M6" i="1"/>
  <c r="M41" i="1" s="1"/>
  <c r="K5" i="1" l="1"/>
  <c r="K40" i="1" s="1"/>
  <c r="L5" i="1" l="1"/>
  <c r="L40" i="1" s="1"/>
  <c r="M5" i="1" l="1"/>
  <c r="M40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<sst xmlns="http://schemas.openxmlformats.org/spreadsheetml/2006/main" count="52" uniqueCount="44">
  <si>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</si>
  <si>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</si>
  <si>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</si>
  <si>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</si>
  <si>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</si>
  <si>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</si>
  <si>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</si>
  <si>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</si>
  <si>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</si>
  <si>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</si>
  <si>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</si>
  <si>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</si>
  <si>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</si>
  <si>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</si>
  <si>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</si>
  <si>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</si>
  <si>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</si>
  <si>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</si>
  <si>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</si>
  <si>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</si>
  <si>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</si>
  <si>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</si>
  <si>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</si>
  <si>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</si>
  <si>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</si>
  <si>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</si>
  <si>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</si>
  <si>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</si>
  <si>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</si>
  <si>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</si>
  <si>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</si>
  <si>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</si>
  <si>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</si>
  <si>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</si>
  <si>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</si>
  <si>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</si>
  <si>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</si>
  <si>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</si>
  <si>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</si>
  <si>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</si>
  <si>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</t>
  </si>
  <si>
    <t>Вознаграждение совета МКД</t>
  </si>
  <si>
    <t>Налоги с вознаграждения совета МКД</t>
  </si>
  <si>
    <t xml:space="preserve">                 ОТЧЕТ по дому Матросова, 67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</si>
</sst>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zoomScale="75" workbookViewId="0">
      <selection activeCell="A2" sqref="A1:I1048576"/>
    </sheetView>
  </sheetViews>
  <sheetFormatPr defaultRowHeight="13.2" x14ac:dyDescent="0.25"/>
  <cols>
    <col min="1" max="1" width="58.6640625" customWidth="1"/>
    <col min="2" max="2" width="14.109375" customWidth="1"/>
    <col min="3" max="3" width="13.44140625" customWidth="1"/>
    <col min="4" max="4" width="13.6640625" customWidth="1"/>
    <col min="5" max="5" width="14.44140625" customWidth="1"/>
    <col min="6" max="6" width="14.6640625" customWidth="1"/>
    <col min="7" max="8" width="14.44140625" customWidth="1"/>
    <col min="9" max="9" width="14.109375" customWidth="1"/>
    <col min="10" max="13" width="13.88671875" customWidth="1"/>
    <col min="14" max="14" width="15.88671875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16</v>
      </c>
      <c r="B5" s="8">
        <v>-307128.98</v>
      </c>
      <c r="C5" s="8">
        <f t="shared" ref="C5:D6" si="0">B40</f>
        <v>-293740.72415999998</v>
      </c>
      <c r="D5" s="8">
        <f t="shared" si="0"/>
        <v>-285248.84746999998</v>
      </c>
      <c r="E5" s="8">
        <f t="shared" ref="E5:E6" si="1">D40</f>
        <v>-275788.57029999996</v>
      </c>
      <c r="F5" s="8">
        <f t="shared" ref="F5:F6" si="2">E40</f>
        <v>-290222.02199999994</v>
      </c>
      <c r="G5" s="8">
        <f t="shared" ref="G5:G6" si="3">F40</f>
        <v>-304018.87839999993</v>
      </c>
      <c r="H5" s="8">
        <f t="shared" ref="H5:H6" si="4">G40</f>
        <v>-297965.81981999992</v>
      </c>
      <c r="I5" s="8">
        <f t="shared" ref="I5:I6" si="5">H40</f>
        <v>-306845.5119199999</v>
      </c>
      <c r="J5" s="8">
        <f t="shared" ref="J5:J6" si="6">I40</f>
        <v>-232968.77460999988</v>
      </c>
      <c r="K5" s="8">
        <f t="shared" ref="K5:K6" si="7">J40</f>
        <v>-233133.67960999988</v>
      </c>
      <c r="L5" s="8">
        <f t="shared" ref="L5:L6" si="8">K40</f>
        <v>-220425.97402999987</v>
      </c>
      <c r="M5" s="8">
        <f t="shared" ref="M5:M6" si="9">L40</f>
        <v>-506758.02056999988</v>
      </c>
      <c r="N5" s="8">
        <f>B5</f>
        <v>-307128.98</v>
      </c>
    </row>
    <row r="6" spans="1:18" ht="21" customHeight="1" thickBot="1" x14ac:dyDescent="0.3">
      <c r="A6" s="7" t="s">
        <v>13</v>
      </c>
      <c r="B6" s="8">
        <v>-179443.7</v>
      </c>
      <c r="C6" s="8">
        <f t="shared" si="0"/>
        <v>-174791.72000000003</v>
      </c>
      <c r="D6" s="8">
        <f t="shared" si="0"/>
        <v>-179106.06</v>
      </c>
      <c r="E6" s="8">
        <f t="shared" si="1"/>
        <v>-181858.16999999998</v>
      </c>
      <c r="F6" s="8">
        <f t="shared" si="2"/>
        <v>-189155.80999999997</v>
      </c>
      <c r="G6" s="8">
        <f t="shared" si="3"/>
        <v>-199391.03999999998</v>
      </c>
      <c r="H6" s="8">
        <f t="shared" si="4"/>
        <v>-198703.83999999997</v>
      </c>
      <c r="I6" s="8">
        <f t="shared" si="5"/>
        <v>-211285.92999999993</v>
      </c>
      <c r="J6" s="8">
        <f t="shared" si="6"/>
        <v>-158960.33999999991</v>
      </c>
      <c r="K6" s="8">
        <f t="shared" si="7"/>
        <v>-162507.99999999988</v>
      </c>
      <c r="L6" s="8">
        <f t="shared" si="8"/>
        <v>-167789.22999999989</v>
      </c>
      <c r="M6" s="8">
        <f t="shared" si="9"/>
        <v>-168949.78999999989</v>
      </c>
      <c r="N6" s="8">
        <f>B6</f>
        <v>-179443.7</v>
      </c>
    </row>
    <row r="7" spans="1:18" ht="20.25" customHeight="1" thickBot="1" x14ac:dyDescent="0.3">
      <c r="A7" s="9" t="s">
        <v>12</v>
      </c>
      <c r="B7" s="10">
        <f>SUM(B8:B14)</f>
        <v>33668.92</v>
      </c>
      <c r="C7" s="10">
        <f>SUM(C8:C14)</f>
        <v>34372.67</v>
      </c>
      <c r="D7" s="10">
        <f>SUM(D8:D14)</f>
        <v>33531.21</v>
      </c>
      <c r="E7" s="10">
        <f t="shared" ref="E7:M7" si="10">SUM(E8:E14)</f>
        <v>33281.299999999996</v>
      </c>
      <c r="F7" s="10">
        <f t="shared" si="10"/>
        <v>33832.1</v>
      </c>
      <c r="G7" s="10">
        <f t="shared" si="10"/>
        <v>26312.14</v>
      </c>
      <c r="H7" s="10">
        <f t="shared" si="10"/>
        <v>41127.599999999991</v>
      </c>
      <c r="I7" s="10">
        <f t="shared" si="10"/>
        <v>46153.83</v>
      </c>
      <c r="J7" s="10">
        <f t="shared" si="10"/>
        <v>41127.599999999991</v>
      </c>
      <c r="K7" s="10">
        <f t="shared" si="10"/>
        <v>45792.44</v>
      </c>
      <c r="L7" s="10">
        <f t="shared" si="10"/>
        <v>41620.78</v>
      </c>
      <c r="M7" s="10">
        <f t="shared" si="10"/>
        <v>41127.599999999991</v>
      </c>
      <c r="N7" s="10">
        <f>SUM(B7:M7)</f>
        <v>451948.18999999994</v>
      </c>
    </row>
    <row r="8" spans="1:18" ht="24.75" customHeight="1" thickBot="1" x14ac:dyDescent="0.3">
      <c r="A8" s="4" t="s">
        <v>26</v>
      </c>
      <c r="B8" s="11">
        <v>28711.17</v>
      </c>
      <c r="C8" s="11">
        <v>28711.17</v>
      </c>
      <c r="D8" s="11">
        <v>28711.17</v>
      </c>
      <c r="E8" s="11">
        <v>28711.17</v>
      </c>
      <c r="F8" s="11">
        <v>28711.17</v>
      </c>
      <c r="G8" s="11">
        <v>28711.17</v>
      </c>
      <c r="H8" s="11">
        <v>34115</v>
      </c>
      <c r="I8" s="11">
        <v>34115</v>
      </c>
      <c r="J8" s="11">
        <v>34115</v>
      </c>
      <c r="K8" s="11">
        <v>34115</v>
      </c>
      <c r="L8" s="11">
        <v>34115</v>
      </c>
      <c r="M8" s="11">
        <v>34115</v>
      </c>
      <c r="N8" s="11">
        <f>SUM(B8:M8)</f>
        <v>376957.01999999996</v>
      </c>
    </row>
    <row r="9" spans="1:18" ht="24.75" customHeight="1" thickBot="1" x14ac:dyDescent="0.3">
      <c r="A9" s="4" t="s">
        <v>17</v>
      </c>
      <c r="B9" s="11">
        <v>645.14</v>
      </c>
      <c r="C9" s="11">
        <v>645.14</v>
      </c>
      <c r="D9" s="11">
        <v>645.14</v>
      </c>
      <c r="E9" s="11">
        <v>645.14</v>
      </c>
      <c r="F9" s="11">
        <v>645.14</v>
      </c>
      <c r="G9" s="11">
        <v>645.14</v>
      </c>
      <c r="H9" s="11">
        <v>735.6</v>
      </c>
      <c r="I9" s="11">
        <v>735.6</v>
      </c>
      <c r="J9" s="11">
        <v>735.6</v>
      </c>
      <c r="K9" s="11">
        <v>735.6</v>
      </c>
      <c r="L9" s="11">
        <v>622.74</v>
      </c>
      <c r="M9" s="11">
        <v>735.6</v>
      </c>
      <c r="N9" s="11">
        <f t="shared" ref="N9:N14" si="11">SUM(B9:M9)</f>
        <v>8171.5800000000008</v>
      </c>
    </row>
    <row r="10" spans="1:18" ht="21.75" customHeight="1" thickBot="1" x14ac:dyDescent="0.3">
      <c r="A10" s="4" t="s">
        <v>18</v>
      </c>
      <c r="B10" s="11">
        <v>116.2</v>
      </c>
      <c r="C10" s="11">
        <v>116.2</v>
      </c>
      <c r="D10" s="11">
        <v>116.2</v>
      </c>
      <c r="E10" s="11">
        <v>116.2</v>
      </c>
      <c r="F10" s="11">
        <v>116.2</v>
      </c>
      <c r="G10" s="11">
        <v>116.2</v>
      </c>
      <c r="H10" s="11">
        <v>128.41999999999999</v>
      </c>
      <c r="I10" s="11">
        <v>128.41999999999999</v>
      </c>
      <c r="J10" s="11">
        <v>128.41999999999999</v>
      </c>
      <c r="K10" s="11">
        <v>128.41999999999999</v>
      </c>
      <c r="L10" s="11">
        <v>128.41999999999999</v>
      </c>
      <c r="M10" s="11">
        <v>128.41999999999999</v>
      </c>
      <c r="N10" s="11">
        <f t="shared" si="11"/>
        <v>1467.7200000000003</v>
      </c>
    </row>
    <row r="11" spans="1:18" ht="22.5" customHeight="1" thickBot="1" x14ac:dyDescent="0.3">
      <c r="A11" s="4" t="s">
        <v>19</v>
      </c>
      <c r="B11" s="11">
        <v>387.62</v>
      </c>
      <c r="C11" s="11">
        <v>1091.3699999999999</v>
      </c>
      <c r="D11" s="11">
        <v>249.91</v>
      </c>
      <c r="E11" s="11">
        <v>0</v>
      </c>
      <c r="F11" s="11">
        <v>550.79999999999995</v>
      </c>
      <c r="G11" s="11">
        <v>0</v>
      </c>
      <c r="H11" s="11">
        <v>0</v>
      </c>
      <c r="I11" s="11">
        <v>5026.2299999999996</v>
      </c>
      <c r="J11" s="11">
        <v>0</v>
      </c>
      <c r="K11" s="11">
        <v>4664.84</v>
      </c>
      <c r="L11" s="11">
        <v>606.04</v>
      </c>
      <c r="M11" s="11">
        <v>0</v>
      </c>
      <c r="N11" s="11">
        <f t="shared" si="11"/>
        <v>12576.810000000001</v>
      </c>
    </row>
    <row r="12" spans="1:18" ht="22.5" customHeight="1" thickBot="1" x14ac:dyDescent="0.3">
      <c r="A12" s="4" t="s">
        <v>41</v>
      </c>
      <c r="B12" s="11">
        <v>3484.58</v>
      </c>
      <c r="C12" s="11">
        <v>3484.58</v>
      </c>
      <c r="D12" s="11">
        <v>3484.58</v>
      </c>
      <c r="E12" s="11">
        <v>3484.58</v>
      </c>
      <c r="F12" s="11">
        <v>3484.58</v>
      </c>
      <c r="G12" s="11">
        <v>-3484.58</v>
      </c>
      <c r="H12" s="11">
        <v>5789.52</v>
      </c>
      <c r="I12" s="11">
        <v>5789.52</v>
      </c>
      <c r="J12" s="11">
        <v>5789.52</v>
      </c>
      <c r="K12" s="11">
        <v>5789.52</v>
      </c>
      <c r="L12" s="11">
        <v>5789.52</v>
      </c>
      <c r="M12" s="11">
        <v>5789.52</v>
      </c>
      <c r="N12" s="11">
        <f t="shared" si="11"/>
        <v>48675.440000000017</v>
      </c>
    </row>
    <row r="13" spans="1:18" ht="22.5" customHeight="1" thickBot="1" x14ac:dyDescent="0.3">
      <c r="A13" s="4" t="s">
        <v>25</v>
      </c>
      <c r="B13" s="11">
        <v>224.21</v>
      </c>
      <c r="C13" s="11">
        <v>224.21</v>
      </c>
      <c r="D13" s="11">
        <v>224.21</v>
      </c>
      <c r="E13" s="11">
        <v>224.21</v>
      </c>
      <c r="F13" s="11">
        <v>224.21</v>
      </c>
      <c r="G13" s="11">
        <v>224.21</v>
      </c>
      <c r="H13" s="11">
        <v>259.06</v>
      </c>
      <c r="I13" s="11">
        <v>259.06</v>
      </c>
      <c r="J13" s="11">
        <v>259.06</v>
      </c>
      <c r="K13" s="11">
        <v>259.06</v>
      </c>
      <c r="L13" s="11">
        <v>259.06</v>
      </c>
      <c r="M13" s="11">
        <v>259.06</v>
      </c>
      <c r="N13" s="11">
        <f t="shared" si="11"/>
        <v>2899.62</v>
      </c>
    </row>
    <row r="14" spans="1:18" ht="24" customHeight="1" thickBot="1" x14ac:dyDescent="0.3">
      <c r="A14" s="4" t="s">
        <v>15</v>
      </c>
      <c r="B14" s="11">
        <v>100</v>
      </c>
      <c r="C14" s="11">
        <v>100</v>
      </c>
      <c r="D14" s="11">
        <v>100</v>
      </c>
      <c r="E14" s="11">
        <v>100</v>
      </c>
      <c r="F14" s="11">
        <v>100</v>
      </c>
      <c r="G14" s="11">
        <v>100</v>
      </c>
      <c r="H14" s="11">
        <v>100</v>
      </c>
      <c r="I14" s="11">
        <v>100</v>
      </c>
      <c r="J14" s="11">
        <v>100</v>
      </c>
      <c r="K14" s="11">
        <v>100</v>
      </c>
      <c r="L14" s="11">
        <v>100</v>
      </c>
      <c r="M14" s="11">
        <v>100</v>
      </c>
      <c r="N14" s="11">
        <f t="shared" si="11"/>
        <v>1200</v>
      </c>
    </row>
    <row r="15" spans="1:18" ht="20.25" customHeight="1" thickBot="1" x14ac:dyDescent="0.3">
      <c r="A15" s="12" t="s">
        <v>8</v>
      </c>
      <c r="B15" s="13">
        <f>SUM(B16:B22)</f>
        <v>38320.899999999994</v>
      </c>
      <c r="C15" s="13">
        <f>SUM(C16:C22)</f>
        <v>30058.33</v>
      </c>
      <c r="D15" s="13">
        <f>SUM(D16:D22)</f>
        <v>30779.100000000002</v>
      </c>
      <c r="E15" s="13">
        <f t="shared" ref="E15:M15" si="12">SUM(E16:E22)</f>
        <v>25983.66</v>
      </c>
      <c r="F15" s="13">
        <f t="shared" si="12"/>
        <v>23596.869999999995</v>
      </c>
      <c r="G15" s="13">
        <f t="shared" si="12"/>
        <v>26999.34</v>
      </c>
      <c r="H15" s="13">
        <f t="shared" si="12"/>
        <v>28545.510000000002</v>
      </c>
      <c r="I15" s="13">
        <f t="shared" si="12"/>
        <v>98479.420000000013</v>
      </c>
      <c r="J15" s="13">
        <f t="shared" si="12"/>
        <v>37579.939999999995</v>
      </c>
      <c r="K15" s="13">
        <f t="shared" si="12"/>
        <v>40511.209999999992</v>
      </c>
      <c r="L15" s="13">
        <f t="shared" si="12"/>
        <v>40460.22</v>
      </c>
      <c r="M15" s="13">
        <f t="shared" si="12"/>
        <v>36091.65</v>
      </c>
      <c r="N15" s="13">
        <f>SUM(B15:M15)</f>
        <v>457406.15</v>
      </c>
    </row>
    <row r="16" spans="1:18" ht="24" customHeight="1" thickBot="1" x14ac:dyDescent="0.3">
      <c r="A16" s="4" t="s">
        <v>27</v>
      </c>
      <c r="B16" s="11">
        <f>25864.1+29.68</f>
        <v>25893.78</v>
      </c>
      <c r="C16" s="11">
        <v>24566.240000000002</v>
      </c>
      <c r="D16" s="11">
        <f>25219.14+1.7</f>
        <v>25220.84</v>
      </c>
      <c r="E16" s="11">
        <v>22234.37</v>
      </c>
      <c r="F16" s="11">
        <v>20266.98</v>
      </c>
      <c r="G16" s="11">
        <f>25509.1+150</f>
        <v>25659.1</v>
      </c>
      <c r="H16" s="11">
        <f>27417.81+8.39</f>
        <v>27426.2</v>
      </c>
      <c r="I16" s="11">
        <f>83674.75+78.27</f>
        <v>83753.02</v>
      </c>
      <c r="J16" s="11">
        <v>28416.67</v>
      </c>
      <c r="K16" s="11">
        <v>33994.559999999998</v>
      </c>
      <c r="L16" s="11">
        <v>30125.41</v>
      </c>
      <c r="M16" s="11">
        <v>29781.97</v>
      </c>
      <c r="N16" s="11">
        <f>SUM(B16:M16)</f>
        <v>377339.14</v>
      </c>
    </row>
    <row r="17" spans="1:15" ht="26.25" customHeight="1" thickBot="1" x14ac:dyDescent="0.3">
      <c r="A17" s="4" t="s">
        <v>17</v>
      </c>
      <c r="B17" s="11">
        <v>544.07000000000005</v>
      </c>
      <c r="C17" s="11">
        <v>552</v>
      </c>
      <c r="D17" s="11">
        <v>564.54999999999995</v>
      </c>
      <c r="E17" s="11">
        <v>499.61</v>
      </c>
      <c r="F17" s="11">
        <v>455.39</v>
      </c>
      <c r="G17" s="11">
        <v>530.49</v>
      </c>
      <c r="H17" s="11">
        <v>613.86</v>
      </c>
      <c r="I17" s="11">
        <v>1781.35</v>
      </c>
      <c r="J17" s="11">
        <v>621.26</v>
      </c>
      <c r="K17" s="11">
        <v>734.77</v>
      </c>
      <c r="L17" s="11">
        <v>642.48</v>
      </c>
      <c r="M17" s="11">
        <v>557.41</v>
      </c>
      <c r="N17" s="11">
        <f t="shared" ref="N17:N22" si="13">SUM(B17:M17)</f>
        <v>8097.24</v>
      </c>
    </row>
    <row r="18" spans="1:15" ht="26.25" customHeight="1" thickBot="1" x14ac:dyDescent="0.3">
      <c r="A18" s="4" t="s">
        <v>18</v>
      </c>
      <c r="B18" s="11">
        <v>104.18</v>
      </c>
      <c r="C18" s="11">
        <v>99.42</v>
      </c>
      <c r="D18" s="11">
        <v>102.04</v>
      </c>
      <c r="E18" s="11">
        <v>89.98</v>
      </c>
      <c r="F18" s="11">
        <v>82.01</v>
      </c>
      <c r="G18" s="11">
        <v>95.54</v>
      </c>
      <c r="H18" s="11">
        <v>110.57</v>
      </c>
      <c r="I18" s="11">
        <v>333.64</v>
      </c>
      <c r="J18" s="11">
        <v>108.93</v>
      </c>
      <c r="K18" s="11">
        <v>128.52000000000001</v>
      </c>
      <c r="L18" s="11">
        <v>113.61</v>
      </c>
      <c r="M18" s="11">
        <v>112.24</v>
      </c>
      <c r="N18" s="11">
        <f t="shared" si="13"/>
        <v>1480.6799999999998</v>
      </c>
    </row>
    <row r="19" spans="1:15" ht="24" customHeight="1" thickBot="1" x14ac:dyDescent="0.3">
      <c r="A19" s="4" t="s">
        <v>19</v>
      </c>
      <c r="B19" s="11">
        <v>8212.84</v>
      </c>
      <c r="C19" s="11">
        <v>1539.18</v>
      </c>
      <c r="D19" s="11">
        <v>1190.1099999999999</v>
      </c>
      <c r="E19" s="11">
        <v>193.44</v>
      </c>
      <c r="F19" s="11">
        <v>0</v>
      </c>
      <c r="G19" s="11">
        <v>429.82</v>
      </c>
      <c r="H19" s="11">
        <v>81.52</v>
      </c>
      <c r="I19" s="11">
        <v>1606.22</v>
      </c>
      <c r="J19" s="11">
        <v>3772.6</v>
      </c>
      <c r="K19" s="11">
        <v>621.07000000000005</v>
      </c>
      <c r="L19" s="11">
        <v>3949.76</v>
      </c>
      <c r="M19" s="11">
        <v>640.05999999999995</v>
      </c>
      <c r="N19" s="11">
        <f t="shared" si="13"/>
        <v>22236.62</v>
      </c>
    </row>
    <row r="20" spans="1:15" ht="24" customHeight="1" thickBot="1" x14ac:dyDescent="0.3">
      <c r="A20" s="4" t="s">
        <v>41</v>
      </c>
      <c r="B20" s="11">
        <v>3278.08</v>
      </c>
      <c r="C20" s="11">
        <v>3009.66</v>
      </c>
      <c r="D20" s="11">
        <v>3405.45</v>
      </c>
      <c r="E20" s="11">
        <v>2692.63</v>
      </c>
      <c r="F20" s="11">
        <v>2534.2399999999998</v>
      </c>
      <c r="G20" s="11">
        <v>0</v>
      </c>
      <c r="H20" s="11">
        <v>0</v>
      </c>
      <c r="I20" s="11">
        <v>10286.52</v>
      </c>
      <c r="J20" s="11">
        <v>4342.1400000000003</v>
      </c>
      <c r="K20" s="11">
        <v>4673.72</v>
      </c>
      <c r="L20" s="11">
        <v>5300.04</v>
      </c>
      <c r="M20" s="11">
        <v>4673.72</v>
      </c>
      <c r="N20" s="11">
        <f t="shared" si="13"/>
        <v>44196.200000000004</v>
      </c>
    </row>
    <row r="21" spans="1:15" ht="24" customHeight="1" thickBot="1" x14ac:dyDescent="0.3">
      <c r="A21" s="4" t="s">
        <v>25</v>
      </c>
      <c r="B21" s="11">
        <v>187.95</v>
      </c>
      <c r="C21" s="11">
        <v>191.83</v>
      </c>
      <c r="D21" s="11">
        <v>196.11</v>
      </c>
      <c r="E21" s="11">
        <v>173.63</v>
      </c>
      <c r="F21" s="11">
        <v>158.25</v>
      </c>
      <c r="G21" s="11">
        <v>184.39</v>
      </c>
      <c r="H21" s="11">
        <v>213.36</v>
      </c>
      <c r="I21" s="11">
        <v>618.66999999999996</v>
      </c>
      <c r="J21" s="11">
        <v>218.34</v>
      </c>
      <c r="K21" s="11">
        <v>258.57</v>
      </c>
      <c r="L21" s="11">
        <v>228.92</v>
      </c>
      <c r="M21" s="11">
        <v>226.25</v>
      </c>
      <c r="N21" s="11">
        <f t="shared" si="13"/>
        <v>2856.2700000000004</v>
      </c>
    </row>
    <row r="22" spans="1:15" ht="21" customHeight="1" thickBot="1" x14ac:dyDescent="0.3">
      <c r="A22" s="4" t="s">
        <v>15</v>
      </c>
      <c r="B22" s="14">
        <v>100</v>
      </c>
      <c r="C22" s="14">
        <v>100</v>
      </c>
      <c r="D22" s="14">
        <v>100</v>
      </c>
      <c r="E22" s="14">
        <v>100</v>
      </c>
      <c r="F22" s="14">
        <v>100</v>
      </c>
      <c r="G22" s="14">
        <v>100</v>
      </c>
      <c r="H22" s="14">
        <v>100</v>
      </c>
      <c r="I22" s="14">
        <v>100</v>
      </c>
      <c r="J22" s="14">
        <v>100</v>
      </c>
      <c r="K22" s="14">
        <v>100</v>
      </c>
      <c r="L22" s="14">
        <v>100</v>
      </c>
      <c r="M22" s="14">
        <v>100</v>
      </c>
      <c r="N22" s="11">
        <f t="shared" si="13"/>
        <v>1200</v>
      </c>
      <c r="O22" s="3"/>
    </row>
    <row r="23" spans="1:15" ht="21.75" customHeight="1" thickBot="1" x14ac:dyDescent="0.3">
      <c r="A23" s="15" t="s">
        <v>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 t="shared" ref="B24:M24" si="14">1364.6*0.6</f>
        <v>818.75999999999988</v>
      </c>
      <c r="C24" s="11">
        <f t="shared" si="14"/>
        <v>818.75999999999988</v>
      </c>
      <c r="D24" s="11">
        <f t="shared" si="14"/>
        <v>818.75999999999988</v>
      </c>
      <c r="E24" s="11">
        <f t="shared" si="14"/>
        <v>818.75999999999988</v>
      </c>
      <c r="F24" s="11">
        <f t="shared" si="14"/>
        <v>818.75999999999988</v>
      </c>
      <c r="G24" s="11">
        <f t="shared" si="14"/>
        <v>818.75999999999988</v>
      </c>
      <c r="H24" s="11">
        <f t="shared" si="14"/>
        <v>818.75999999999988</v>
      </c>
      <c r="I24" s="11">
        <f t="shared" si="14"/>
        <v>818.75999999999988</v>
      </c>
      <c r="J24" s="11">
        <f t="shared" si="14"/>
        <v>818.75999999999988</v>
      </c>
      <c r="K24" s="11">
        <f t="shared" si="14"/>
        <v>818.75999999999988</v>
      </c>
      <c r="L24" s="11">
        <f t="shared" si="14"/>
        <v>818.75999999999988</v>
      </c>
      <c r="M24" s="11">
        <f t="shared" si="14"/>
        <v>818.75999999999988</v>
      </c>
      <c r="N24" s="11">
        <f>SUM(B24:M24)</f>
        <v>9825.1200000000008</v>
      </c>
    </row>
    <row r="25" spans="1:15" ht="22.5" customHeight="1" thickBot="1" x14ac:dyDescent="0.3">
      <c r="A25" s="4" t="s">
        <v>2</v>
      </c>
      <c r="B25" s="11">
        <f t="shared" ref="B25:M25" si="15">1364.6*0.17</f>
        <v>231.982</v>
      </c>
      <c r="C25" s="11">
        <f t="shared" si="15"/>
        <v>231.982</v>
      </c>
      <c r="D25" s="11">
        <f t="shared" si="15"/>
        <v>231.982</v>
      </c>
      <c r="E25" s="11">
        <f t="shared" si="15"/>
        <v>231.982</v>
      </c>
      <c r="F25" s="11">
        <f t="shared" si="15"/>
        <v>231.982</v>
      </c>
      <c r="G25" s="11">
        <f t="shared" si="15"/>
        <v>231.982</v>
      </c>
      <c r="H25" s="11">
        <f t="shared" si="15"/>
        <v>231.982</v>
      </c>
      <c r="I25" s="11">
        <f t="shared" si="15"/>
        <v>231.982</v>
      </c>
      <c r="J25" s="11">
        <f t="shared" si="15"/>
        <v>231.982</v>
      </c>
      <c r="K25" s="11">
        <f t="shared" si="15"/>
        <v>231.982</v>
      </c>
      <c r="L25" s="11">
        <f t="shared" si="15"/>
        <v>231.982</v>
      </c>
      <c r="M25" s="11">
        <f t="shared" si="15"/>
        <v>231.982</v>
      </c>
      <c r="N25" s="11">
        <f t="shared" ref="N25:N31" si="16">SUM(B25:M25)</f>
        <v>2783.7840000000001</v>
      </c>
    </row>
    <row r="26" spans="1:15" ht="21" customHeight="1" thickBot="1" x14ac:dyDescent="0.3">
      <c r="A26" s="4" t="s">
        <v>3</v>
      </c>
      <c r="B26" s="11">
        <f>33568.92*2.3%</f>
        <v>772.08515999999997</v>
      </c>
      <c r="C26" s="11">
        <f>34272.67*2.3%</f>
        <v>788.27140999999995</v>
      </c>
      <c r="D26" s="11">
        <f>33431.21*2.3%</f>
        <v>768.91782999999998</v>
      </c>
      <c r="E26" s="11">
        <f>33181.3*2.3%</f>
        <v>763.1699000000001</v>
      </c>
      <c r="F26" s="11">
        <f>33732.1*2.3%</f>
        <v>775.8383</v>
      </c>
      <c r="G26" s="11">
        <f>26212.14*2.3%</f>
        <v>602.87922000000003</v>
      </c>
      <c r="H26" s="11">
        <f>41027.6*2.3%</f>
        <v>943.63479999999993</v>
      </c>
      <c r="I26" s="11">
        <f>46053.83*2.3%</f>
        <v>1059.2380900000001</v>
      </c>
      <c r="J26" s="11">
        <f>41027.6*2.3%</f>
        <v>943.63479999999993</v>
      </c>
      <c r="K26" s="11">
        <f>45692.44*2.3%</f>
        <v>1050.9261200000001</v>
      </c>
      <c r="L26" s="11">
        <f>41520.78*2.3%</f>
        <v>954.97793999999999</v>
      </c>
      <c r="M26" s="11">
        <f>41027.6*2.3%</f>
        <v>943.63479999999993</v>
      </c>
      <c r="N26" s="11">
        <f t="shared" si="16"/>
        <v>10367.20837</v>
      </c>
    </row>
    <row r="27" spans="1:15" ht="23.25" customHeight="1" thickBot="1" x14ac:dyDescent="0.3">
      <c r="A27" s="4" t="s">
        <v>4</v>
      </c>
      <c r="B27" s="11">
        <f>38220.9*3%</f>
        <v>1146.627</v>
      </c>
      <c r="C27" s="11">
        <f>29958.33*3%</f>
        <v>898.74990000000003</v>
      </c>
      <c r="D27" s="11">
        <f>30679.1*3%</f>
        <v>920.37299999999993</v>
      </c>
      <c r="E27" s="11">
        <f>25883.66*3%</f>
        <v>776.50979999999993</v>
      </c>
      <c r="F27" s="11">
        <f>23496.87*3%</f>
        <v>704.90609999999992</v>
      </c>
      <c r="G27" s="11">
        <f>26899.34*3%</f>
        <v>806.98019999999997</v>
      </c>
      <c r="H27" s="11">
        <f>28445.51*3%</f>
        <v>853.36529999999993</v>
      </c>
      <c r="I27" s="11">
        <f>98379.42*3%</f>
        <v>2951.3825999999999</v>
      </c>
      <c r="J27" s="11">
        <f>37479.94*3%</f>
        <v>1124.3982000000001</v>
      </c>
      <c r="K27" s="11">
        <f>40411.21*3%</f>
        <v>1212.3362999999999</v>
      </c>
      <c r="L27" s="11">
        <f>40360.22*3%</f>
        <v>1210.8065999999999</v>
      </c>
      <c r="M27" s="11">
        <f>35991.65*3%</f>
        <v>1079.7494999999999</v>
      </c>
      <c r="N27" s="11">
        <f t="shared" si="16"/>
        <v>13686.184499999998</v>
      </c>
    </row>
    <row r="28" spans="1:15" ht="23.25" customHeight="1" thickBot="1" x14ac:dyDescent="0.3">
      <c r="A28" s="4" t="s">
        <v>9</v>
      </c>
      <c r="B28" s="11">
        <f t="shared" ref="B28:M28" si="17">1364.6*9.7</f>
        <v>13236.619999999999</v>
      </c>
      <c r="C28" s="11">
        <f t="shared" si="17"/>
        <v>13236.619999999999</v>
      </c>
      <c r="D28" s="11">
        <f t="shared" si="17"/>
        <v>13236.619999999999</v>
      </c>
      <c r="E28" s="11">
        <f t="shared" si="17"/>
        <v>13236.619999999999</v>
      </c>
      <c r="F28" s="11">
        <f t="shared" si="17"/>
        <v>13236.619999999999</v>
      </c>
      <c r="G28" s="11">
        <f t="shared" si="17"/>
        <v>13236.619999999999</v>
      </c>
      <c r="H28" s="11">
        <f t="shared" si="17"/>
        <v>13236.619999999999</v>
      </c>
      <c r="I28" s="11">
        <f t="shared" si="17"/>
        <v>13236.619999999999</v>
      </c>
      <c r="J28" s="11">
        <f t="shared" si="17"/>
        <v>13236.619999999999</v>
      </c>
      <c r="K28" s="11">
        <f t="shared" si="17"/>
        <v>13236.619999999999</v>
      </c>
      <c r="L28" s="11">
        <f t="shared" si="17"/>
        <v>13236.619999999999</v>
      </c>
      <c r="M28" s="11">
        <f t="shared" si="17"/>
        <v>13236.619999999999</v>
      </c>
      <c r="N28" s="11">
        <f t="shared" si="16"/>
        <v>158839.43999999997</v>
      </c>
    </row>
    <row r="29" spans="1:15" ht="23.25" customHeight="1" thickBot="1" x14ac:dyDescent="0.3">
      <c r="A29" s="4" t="s">
        <v>20</v>
      </c>
      <c r="B29" s="11">
        <f>572.33+72.81</f>
        <v>645.1400000000001</v>
      </c>
      <c r="C29" s="11">
        <f t="shared" ref="C29:D29" si="18">572.33+72.81</f>
        <v>645.1400000000001</v>
      </c>
      <c r="D29" s="11">
        <f t="shared" si="18"/>
        <v>645.1400000000001</v>
      </c>
      <c r="E29" s="11">
        <f>572.33+72.81</f>
        <v>645.1400000000001</v>
      </c>
      <c r="F29" s="11">
        <f>437.79+55.68</f>
        <v>493.47</v>
      </c>
      <c r="G29" s="11">
        <f>489.74+62.29</f>
        <v>552.03</v>
      </c>
      <c r="H29" s="11">
        <f>658.18+77.42</f>
        <v>735.59999999999991</v>
      </c>
      <c r="I29" s="11">
        <f t="shared" ref="I29:J29" si="19">658.18+77.42</f>
        <v>735.59999999999991</v>
      </c>
      <c r="J29" s="11">
        <f t="shared" si="19"/>
        <v>735.59999999999991</v>
      </c>
      <c r="K29" s="11">
        <f>658.18+77.42</f>
        <v>735.59999999999991</v>
      </c>
      <c r="L29" s="11">
        <f t="shared" ref="L29:M29" si="20">658.18+77.42</f>
        <v>735.59999999999991</v>
      </c>
      <c r="M29" s="11">
        <f t="shared" si="20"/>
        <v>735.59999999999991</v>
      </c>
      <c r="N29" s="11">
        <f t="shared" si="16"/>
        <v>8039.6600000000017</v>
      </c>
    </row>
    <row r="30" spans="1:15" ht="26.25" customHeight="1" thickBot="1" x14ac:dyDescent="0.3">
      <c r="A30" s="4" t="s">
        <v>21</v>
      </c>
      <c r="B30" s="11">
        <v>174.31</v>
      </c>
      <c r="C30" s="11">
        <v>174.31</v>
      </c>
      <c r="D30" s="11">
        <v>174.31</v>
      </c>
      <c r="E30" s="11">
        <v>174.31</v>
      </c>
      <c r="F30" s="11">
        <v>174.31</v>
      </c>
      <c r="G30" s="11">
        <v>174.31</v>
      </c>
      <c r="H30" s="11">
        <v>192.67</v>
      </c>
      <c r="I30" s="11">
        <v>192.67</v>
      </c>
      <c r="J30" s="11">
        <v>192.67</v>
      </c>
      <c r="K30" s="11">
        <v>192.67</v>
      </c>
      <c r="L30" s="11">
        <v>192.67</v>
      </c>
      <c r="M30" s="11">
        <v>192.67</v>
      </c>
      <c r="N30" s="11">
        <f t="shared" si="16"/>
        <v>2201.88</v>
      </c>
    </row>
    <row r="31" spans="1:15" ht="26.25" customHeight="1" thickBot="1" x14ac:dyDescent="0.3">
      <c r="A31" s="4" t="s">
        <v>22</v>
      </c>
      <c r="B31" s="11">
        <v>1091.4000000000001</v>
      </c>
      <c r="C31" s="11">
        <v>249.9</v>
      </c>
      <c r="D31" s="11">
        <v>0</v>
      </c>
      <c r="E31" s="11">
        <v>550.79999999999995</v>
      </c>
      <c r="F31" s="11">
        <v>0</v>
      </c>
      <c r="G31" s="11">
        <v>0</v>
      </c>
      <c r="H31" s="11">
        <v>5026.24</v>
      </c>
      <c r="I31" s="11">
        <v>0</v>
      </c>
      <c r="J31" s="11">
        <v>4664.84</v>
      </c>
      <c r="K31" s="11">
        <v>606.04</v>
      </c>
      <c r="L31" s="11">
        <v>0</v>
      </c>
      <c r="M31" s="11">
        <v>0</v>
      </c>
      <c r="N31" s="11">
        <f t="shared" si="16"/>
        <v>12189.220000000001</v>
      </c>
    </row>
    <row r="32" spans="1:15" ht="26.25" customHeight="1" thickBot="1" x14ac:dyDescent="0.3">
      <c r="A32" s="4" t="s">
        <v>25</v>
      </c>
      <c r="B32" s="11">
        <v>224.23</v>
      </c>
      <c r="C32" s="11">
        <v>224.23</v>
      </c>
      <c r="D32" s="11">
        <v>224.23</v>
      </c>
      <c r="E32" s="11">
        <v>224.23</v>
      </c>
      <c r="F32" s="11">
        <v>224.23</v>
      </c>
      <c r="G32" s="11">
        <v>224.23</v>
      </c>
      <c r="H32" s="11">
        <f>129.59+129.59</f>
        <v>259.18</v>
      </c>
      <c r="I32" s="11">
        <f>129.59+129.59</f>
        <v>259.18</v>
      </c>
      <c r="J32" s="11">
        <f>129.59+129.59</f>
        <v>259.18</v>
      </c>
      <c r="K32" s="11">
        <f>129.59+129.59</f>
        <v>259.18</v>
      </c>
      <c r="L32" s="11">
        <f t="shared" ref="L32:M32" si="21">129.59+129.59</f>
        <v>259.18</v>
      </c>
      <c r="M32" s="11">
        <f t="shared" si="21"/>
        <v>259.18</v>
      </c>
      <c r="N32" s="11">
        <f t="shared" ref="N32:N37" si="22">SUM(B32:M32)</f>
        <v>2900.4599999999996</v>
      </c>
    </row>
    <row r="33" spans="1:14" ht="22.5" customHeight="1" thickBot="1" x14ac:dyDescent="0.3">
      <c r="A33" s="4" t="s">
        <v>6</v>
      </c>
      <c r="B33" s="20">
        <f t="shared" ref="B33:G33" si="23">1364.6*3.15</f>
        <v>4298.49</v>
      </c>
      <c r="C33" s="20">
        <f t="shared" si="23"/>
        <v>4298.49</v>
      </c>
      <c r="D33" s="20">
        <f t="shared" si="23"/>
        <v>4298.49</v>
      </c>
      <c r="E33" s="20">
        <f t="shared" si="23"/>
        <v>4298.49</v>
      </c>
      <c r="F33" s="20">
        <f t="shared" si="23"/>
        <v>4298.49</v>
      </c>
      <c r="G33" s="20">
        <f t="shared" si="23"/>
        <v>4298.49</v>
      </c>
      <c r="H33" s="20">
        <f>1364.6*3.75</f>
        <v>5117.25</v>
      </c>
      <c r="I33" s="20">
        <f t="shared" ref="I33:M33" si="24">1364.6*3.75</f>
        <v>5117.25</v>
      </c>
      <c r="J33" s="20">
        <f t="shared" si="24"/>
        <v>5117.25</v>
      </c>
      <c r="K33" s="20">
        <f t="shared" si="24"/>
        <v>5117.25</v>
      </c>
      <c r="L33" s="20">
        <f t="shared" si="24"/>
        <v>5117.25</v>
      </c>
      <c r="M33" s="20">
        <f t="shared" si="24"/>
        <v>5117.25</v>
      </c>
      <c r="N33" s="11">
        <f t="shared" si="22"/>
        <v>56494.439999999995</v>
      </c>
    </row>
    <row r="34" spans="1:14" ht="21.75" customHeight="1" thickBot="1" x14ac:dyDescent="0.3">
      <c r="A34" s="4" t="s">
        <v>41</v>
      </c>
      <c r="B34" s="11">
        <v>0</v>
      </c>
      <c r="C34" s="11">
        <v>0</v>
      </c>
      <c r="D34" s="11">
        <v>0</v>
      </c>
      <c r="E34" s="11">
        <v>0</v>
      </c>
      <c r="F34" s="11">
        <v>7060.07</v>
      </c>
      <c r="G34" s="11">
        <v>0</v>
      </c>
      <c r="H34" s="11">
        <v>0</v>
      </c>
      <c r="I34" s="11">
        <v>0</v>
      </c>
      <c r="J34" s="11">
        <v>5868.44</v>
      </c>
      <c r="K34" s="11">
        <v>2474.5</v>
      </c>
      <c r="L34" s="11">
        <v>2663.6</v>
      </c>
      <c r="M34" s="11">
        <v>3021.03</v>
      </c>
      <c r="N34" s="11">
        <f t="shared" si="22"/>
        <v>21087.639999999996</v>
      </c>
    </row>
    <row r="35" spans="1:14" ht="21.75" customHeight="1" thickBot="1" x14ac:dyDescent="0.3">
      <c r="A35" s="4" t="s">
        <v>42</v>
      </c>
      <c r="B35" s="11">
        <v>0</v>
      </c>
      <c r="C35" s="11">
        <v>0</v>
      </c>
      <c r="D35" s="11">
        <v>0</v>
      </c>
      <c r="E35" s="11">
        <v>0</v>
      </c>
      <c r="F35" s="11">
        <f>1610+3715.75</f>
        <v>5325.75</v>
      </c>
      <c r="G35" s="11">
        <v>0</v>
      </c>
      <c r="H35" s="11">
        <v>0</v>
      </c>
      <c r="I35" s="11">
        <v>0</v>
      </c>
      <c r="J35" s="11">
        <f>1338+3088.47</f>
        <v>4426.4699999999993</v>
      </c>
      <c r="K35" s="11">
        <f>565+1302.64</f>
        <v>1867.64</v>
      </c>
      <c r="L35" s="11">
        <f>608+1402.12</f>
        <v>2010.12</v>
      </c>
      <c r="M35" s="11">
        <f>689+1590.01</f>
        <v>2279.0100000000002</v>
      </c>
      <c r="N35" s="11">
        <f t="shared" si="22"/>
        <v>15908.99</v>
      </c>
    </row>
    <row r="36" spans="1:14" ht="21.6" customHeight="1" thickBot="1" x14ac:dyDescent="0.3">
      <c r="A36" s="4" t="s">
        <v>14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7662</v>
      </c>
      <c r="N36" s="11">
        <f t="shared" si="22"/>
        <v>7662</v>
      </c>
    </row>
    <row r="37" spans="1:14" ht="20.25" customHeight="1" thickBot="1" x14ac:dyDescent="0.3">
      <c r="A37" s="4" t="s">
        <v>10</v>
      </c>
      <c r="B37" s="11">
        <f>2293</f>
        <v>2293</v>
      </c>
      <c r="C37" s="11">
        <v>0</v>
      </c>
      <c r="D37" s="11">
        <v>0</v>
      </c>
      <c r="E37" s="11">
        <f>18697.1</f>
        <v>18697.099999999999</v>
      </c>
      <c r="F37" s="11">
        <f>4049.3</f>
        <v>4049.3</v>
      </c>
      <c r="G37" s="11">
        <v>0</v>
      </c>
      <c r="H37" s="11">
        <f>10009.9</f>
        <v>10009.9</v>
      </c>
      <c r="I37" s="11">
        <v>0</v>
      </c>
      <c r="J37" s="11">
        <f>125</f>
        <v>125</v>
      </c>
      <c r="K37" s="11">
        <v>0</v>
      </c>
      <c r="L37" s="11">
        <f>1832.3+297528.4</f>
        <v>299360.7</v>
      </c>
      <c r="M37" s="11">
        <f>3806.3+2547.4+1985</f>
        <v>8338.7000000000007</v>
      </c>
      <c r="N37" s="11">
        <f t="shared" si="22"/>
        <v>342873.7</v>
      </c>
    </row>
    <row r="38" spans="1:14" ht="22.5" customHeight="1" thickBot="1" x14ac:dyDescent="0.3">
      <c r="A38" s="9" t="s">
        <v>23</v>
      </c>
      <c r="B38" s="10">
        <f t="shared" ref="B38:M38" si="25">SUM(B24:B37)</f>
        <v>24932.644160000003</v>
      </c>
      <c r="C38" s="10">
        <f t="shared" si="25"/>
        <v>21566.453310000004</v>
      </c>
      <c r="D38" s="10">
        <f t="shared" si="25"/>
        <v>21318.822829999997</v>
      </c>
      <c r="E38" s="10">
        <f t="shared" si="25"/>
        <v>40417.111699999994</v>
      </c>
      <c r="F38" s="10">
        <f t="shared" si="25"/>
        <v>37393.7264</v>
      </c>
      <c r="G38" s="10">
        <f t="shared" si="25"/>
        <v>20946.281419999999</v>
      </c>
      <c r="H38" s="10">
        <f t="shared" si="25"/>
        <v>37425.202099999995</v>
      </c>
      <c r="I38" s="10">
        <f t="shared" si="25"/>
        <v>24602.682689999994</v>
      </c>
      <c r="J38" s="10">
        <f t="shared" si="25"/>
        <v>37744.845000000001</v>
      </c>
      <c r="K38" s="10">
        <f t="shared" si="25"/>
        <v>27803.504419999997</v>
      </c>
      <c r="L38" s="10">
        <f t="shared" si="25"/>
        <v>326792.26653999998</v>
      </c>
      <c r="M38" s="10">
        <f t="shared" si="25"/>
        <v>43916.186300000001</v>
      </c>
      <c r="N38" s="10">
        <f>SUM(B38:M38)</f>
        <v>664859.7268699999</v>
      </c>
    </row>
    <row r="39" spans="1:14" ht="21" customHeight="1" thickBot="1" x14ac:dyDescent="0.3">
      <c r="A39" s="4" t="s">
        <v>5</v>
      </c>
      <c r="B39" s="18">
        <f t="shared" ref="B39:N39" si="26">B15-B38</f>
        <v>13388.255839999991</v>
      </c>
      <c r="C39" s="18">
        <f t="shared" si="26"/>
        <v>8491.8766899999973</v>
      </c>
      <c r="D39" s="18">
        <f t="shared" si="26"/>
        <v>9460.2771700000048</v>
      </c>
      <c r="E39" s="18">
        <f t="shared" si="26"/>
        <v>-14433.451699999994</v>
      </c>
      <c r="F39" s="18">
        <f t="shared" si="26"/>
        <v>-13796.856400000004</v>
      </c>
      <c r="G39" s="18">
        <f t="shared" si="26"/>
        <v>6053.0585800000008</v>
      </c>
      <c r="H39" s="18">
        <f t="shared" si="26"/>
        <v>-8879.6920999999929</v>
      </c>
      <c r="I39" s="18">
        <f t="shared" si="26"/>
        <v>73876.737310000026</v>
      </c>
      <c r="J39" s="18">
        <f t="shared" si="26"/>
        <v>-164.90500000000611</v>
      </c>
      <c r="K39" s="18">
        <f t="shared" si="26"/>
        <v>12707.705579999994</v>
      </c>
      <c r="L39" s="18">
        <f t="shared" si="26"/>
        <v>-286332.04654000001</v>
      </c>
      <c r="M39" s="18">
        <f t="shared" si="26"/>
        <v>-7824.5362999999998</v>
      </c>
      <c r="N39" s="11">
        <f t="shared" si="26"/>
        <v>-207453.57686999987</v>
      </c>
    </row>
    <row r="40" spans="1:14" ht="23.25" customHeight="1" thickBot="1" x14ac:dyDescent="0.3">
      <c r="A40" s="4" t="s">
        <v>7</v>
      </c>
      <c r="B40" s="14">
        <f t="shared" ref="B40:N40" si="27">B5+B39</f>
        <v>-293740.72415999998</v>
      </c>
      <c r="C40" s="14">
        <f t="shared" si="27"/>
        <v>-285248.84746999998</v>
      </c>
      <c r="D40" s="14">
        <f t="shared" si="27"/>
        <v>-275788.57029999996</v>
      </c>
      <c r="E40" s="14">
        <f t="shared" si="27"/>
        <v>-290222.02199999994</v>
      </c>
      <c r="F40" s="14">
        <f t="shared" si="27"/>
        <v>-304018.87839999993</v>
      </c>
      <c r="G40" s="14">
        <f t="shared" si="27"/>
        <v>-297965.81981999992</v>
      </c>
      <c r="H40" s="14">
        <f t="shared" si="27"/>
        <v>-306845.5119199999</v>
      </c>
      <c r="I40" s="14">
        <f t="shared" si="27"/>
        <v>-232968.77460999988</v>
      </c>
      <c r="J40" s="14">
        <f t="shared" si="27"/>
        <v>-233133.67960999988</v>
      </c>
      <c r="K40" s="14">
        <f t="shared" si="27"/>
        <v>-220425.97402999987</v>
      </c>
      <c r="L40" s="14">
        <f t="shared" si="27"/>
        <v>-506758.02056999988</v>
      </c>
      <c r="M40" s="14">
        <f t="shared" si="27"/>
        <v>-514582.55686999985</v>
      </c>
      <c r="N40" s="14">
        <f t="shared" si="27"/>
        <v>-514582.55686999985</v>
      </c>
    </row>
    <row r="41" spans="1:14" ht="27" customHeight="1" thickBot="1" x14ac:dyDescent="0.3">
      <c r="A41" s="15" t="s">
        <v>11</v>
      </c>
      <c r="B41" s="19">
        <f>B6+B15-B7</f>
        <v>-174791.72000000003</v>
      </c>
      <c r="C41" s="19">
        <f t="shared" ref="C41:N41" si="28">C6+C15-C7</f>
        <v>-179106.06</v>
      </c>
      <c r="D41" s="19">
        <f t="shared" si="28"/>
        <v>-181858.16999999998</v>
      </c>
      <c r="E41" s="19">
        <f t="shared" si="28"/>
        <v>-189155.80999999997</v>
      </c>
      <c r="F41" s="19">
        <f t="shared" si="28"/>
        <v>-199391.03999999998</v>
      </c>
      <c r="G41" s="19">
        <f t="shared" si="28"/>
        <v>-198703.83999999997</v>
      </c>
      <c r="H41" s="19">
        <f t="shared" si="28"/>
        <v>-211285.92999999993</v>
      </c>
      <c r="I41" s="19">
        <f t="shared" si="28"/>
        <v>-158960.33999999991</v>
      </c>
      <c r="J41" s="19">
        <f t="shared" si="28"/>
        <v>-162507.99999999988</v>
      </c>
      <c r="K41" s="19">
        <f t="shared" si="28"/>
        <v>-167789.22999999989</v>
      </c>
      <c r="L41" s="19">
        <f t="shared" si="28"/>
        <v>-168949.78999999989</v>
      </c>
      <c r="M41" s="19">
        <f t="shared" si="28"/>
        <v>-173985.73999999987</v>
      </c>
      <c r="N41" s="19">
        <f t="shared" si="28"/>
        <v>-173985.73999999993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2025-03-04T09:07:29Z</cp:lastPrinted>
  <dcterms:created xsi:type="dcterms:W3CDTF">2011-06-06T03:25:48Z</dcterms:created>
  <dcterms:modified xsi:type="dcterms:W3CDTF">2025-03-04T09:41:10Z</dcterms:modified>
</cp:coreProperties>
</file>