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10" i="1" l="1"/>
  <c r="M11" i="1"/>
  <c r="L14" i="1"/>
  <c r="L11" i="1"/>
  <c r="K14" i="1"/>
  <c r="K11" i="1"/>
  <c r="L31" i="1" l="1"/>
  <c r="K31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28" i="1" l="1"/>
  <c r="J8" i="1"/>
  <c r="J14" i="1" l="1"/>
  <c r="J11" i="1"/>
  <c r="I14" i="1"/>
  <c r="I11" i="1"/>
  <c r="H14" i="1"/>
  <c r="H11" i="1"/>
  <c r="H12" i="1"/>
  <c r="J39" i="1" l="1"/>
  <c r="J29" i="1" l="1"/>
  <c r="J17" i="1"/>
  <c r="I29" i="1" l="1"/>
  <c r="I17" i="1"/>
  <c r="I28" i="1"/>
  <c r="I8" i="1"/>
  <c r="H29" i="1" l="1"/>
  <c r="H17" i="1"/>
  <c r="H28" i="1"/>
  <c r="H8" i="1"/>
  <c r="H35" i="1" l="1"/>
  <c r="I35" i="1"/>
  <c r="J35" i="1"/>
  <c r="H30" i="1"/>
  <c r="I30" i="1"/>
  <c r="J30" i="1"/>
  <c r="H27" i="1"/>
  <c r="I27" i="1"/>
  <c r="J27" i="1"/>
  <c r="H26" i="1"/>
  <c r="I26" i="1"/>
  <c r="J26" i="1"/>
  <c r="G23" i="1" l="1"/>
  <c r="G20" i="1"/>
  <c r="G14" i="1"/>
  <c r="G11" i="1"/>
  <c r="F23" i="1"/>
  <c r="F20" i="1"/>
  <c r="F14" i="1"/>
  <c r="F12" i="1"/>
  <c r="F11" i="1"/>
  <c r="E20" i="1"/>
  <c r="E23" i="1"/>
  <c r="E11" i="1"/>
  <c r="E14" i="1"/>
  <c r="F39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20" i="1" l="1"/>
  <c r="D21" i="1"/>
  <c r="D23" i="1"/>
  <c r="D10" i="1"/>
  <c r="D11" i="1"/>
  <c r="D14" i="1"/>
  <c r="C19" i="1"/>
  <c r="C21" i="1"/>
  <c r="C20" i="1"/>
  <c r="C23" i="1"/>
  <c r="C11" i="1"/>
  <c r="C14" i="1"/>
  <c r="B12" i="1"/>
  <c r="B11" i="1"/>
  <c r="B14" i="1"/>
  <c r="C31" i="1" l="1"/>
  <c r="D29" i="1" l="1"/>
  <c r="D17" i="1"/>
  <c r="D28" i="1"/>
  <c r="D8" i="1"/>
  <c r="B39" i="1" l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N12" i="1" l="1"/>
  <c r="N13" i="1"/>
  <c r="N14" i="1"/>
  <c r="N15" i="1"/>
  <c r="N11" i="1"/>
  <c r="N9" i="1"/>
  <c r="N18" i="1" l="1"/>
  <c r="N6" i="1" l="1"/>
  <c r="N5" i="1"/>
  <c r="N17" i="1" l="1"/>
  <c r="N8" i="1"/>
  <c r="N26" i="1"/>
  <c r="N27" i="1"/>
  <c r="N30" i="1"/>
  <c r="N31" i="1"/>
  <c r="N32" i="1"/>
  <c r="N33" i="1"/>
  <c r="N34" i="1"/>
  <c r="N35" i="1"/>
  <c r="N36" i="1"/>
  <c r="N37" i="1"/>
  <c r="N38" i="1"/>
  <c r="N19" i="1"/>
  <c r="N20" i="1"/>
  <c r="N21" i="1"/>
  <c r="N22" i="1"/>
  <c r="N23" i="1"/>
  <c r="N24" i="1"/>
  <c r="K16" i="1"/>
  <c r="L16" i="1"/>
  <c r="M16" i="1"/>
  <c r="N10" i="1"/>
  <c r="K7" i="1"/>
  <c r="L7" i="1"/>
  <c r="M7" i="1"/>
  <c r="L40" i="1" l="1"/>
  <c r="L41" i="1" s="1"/>
  <c r="M40" i="1"/>
  <c r="M41" i="1" s="1"/>
  <c r="K40" i="1"/>
  <c r="K41" i="1" s="1"/>
  <c r="N39" i="1"/>
  <c r="H16" i="1" l="1"/>
  <c r="I16" i="1"/>
  <c r="J16" i="1"/>
  <c r="H7" i="1"/>
  <c r="I7" i="1"/>
  <c r="J7" i="1"/>
  <c r="F16" i="1"/>
  <c r="N29" i="1"/>
  <c r="B7" i="1"/>
  <c r="D16" i="1"/>
  <c r="D40" i="1" s="1"/>
  <c r="D41" i="1" s="1"/>
  <c r="D7" i="1"/>
  <c r="C16" i="1"/>
  <c r="C7" i="1"/>
  <c r="B16" i="1"/>
  <c r="C40" i="1" l="1"/>
  <c r="C41" i="1" s="1"/>
  <c r="H40" i="1"/>
  <c r="N28" i="1"/>
  <c r="G16" i="1"/>
  <c r="G7" i="1"/>
  <c r="E16" i="1"/>
  <c r="F7" i="1"/>
  <c r="J40" i="1"/>
  <c r="I40" i="1"/>
  <c r="I41" i="1" s="1"/>
  <c r="E7" i="1"/>
  <c r="B43" i="1"/>
  <c r="C6" i="1" s="1"/>
  <c r="C43" i="1" s="1"/>
  <c r="D6" i="1" s="1"/>
  <c r="D43" i="1" s="1"/>
  <c r="G40" i="1" l="1"/>
  <c r="G41" i="1" s="1"/>
  <c r="E40" i="1"/>
  <c r="E41" i="1" s="1"/>
  <c r="N7" i="1"/>
  <c r="N16" i="1"/>
  <c r="H41" i="1"/>
  <c r="E6" i="1"/>
  <c r="E43" i="1" s="1"/>
  <c r="F6" i="1" s="1"/>
  <c r="B40" i="1"/>
  <c r="B41" i="1" s="1"/>
  <c r="B42" i="1" s="1"/>
  <c r="C5" i="1" s="1"/>
  <c r="C42" i="1" s="1"/>
  <c r="J41" i="1"/>
  <c r="F40" i="1"/>
  <c r="F41" i="1" s="1"/>
  <c r="N40" i="1" l="1"/>
  <c r="N41" i="1" s="1"/>
  <c r="N42" i="1" s="1"/>
  <c r="F43" i="1"/>
  <c r="G6" i="1" s="1"/>
  <c r="N43" i="1"/>
  <c r="G43" i="1" l="1"/>
  <c r="H6" i="1" s="1"/>
  <c r="D5" i="1"/>
  <c r="D42" i="1" l="1"/>
  <c r="E5" i="1" s="1"/>
  <c r="E42" i="1" s="1"/>
  <c r="F5" i="1" s="1"/>
  <c r="F42" i="1" s="1"/>
  <c r="H43" i="1"/>
  <c r="I6" i="1" s="1"/>
  <c r="I43" i="1" l="1"/>
  <c r="J6" i="1" s="1"/>
  <c r="G5" i="1"/>
  <c r="G42" i="1" s="1"/>
  <c r="J43" i="1" l="1"/>
  <c r="K6" i="1" s="1"/>
  <c r="H5" i="1"/>
  <c r="H42" i="1" s="1"/>
  <c r="K43" i="1" l="1"/>
  <c r="L6" i="1" s="1"/>
  <c r="I5" i="1"/>
  <c r="I42" i="1" s="1"/>
  <c r="L43" i="1" l="1"/>
  <c r="M6" i="1" s="1"/>
  <c r="M43" i="1" s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<sst xmlns="http://schemas.openxmlformats.org/spreadsheetml/2006/main" count="54" uniqueCount="44">
  <si>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</si>
  <si>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</si>
  <si>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</si>
  <si>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</si>
  <si>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</si>
  <si>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</si>
  <si>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</si>
  <si>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</si>
  <si>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</si>
  <si>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</si>
  <si>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</si>
  <si>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</si>
  <si>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</si>
  <si>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</si>
  <si>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</si>
  <si>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</si>
  <si>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</si>
  <si>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</si>
  <si>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</si>
  <si>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</si>
  <si>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</si>
  <si>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</si>
  <si>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</si>
  <si>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</si>
  <si>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</si>
  <si>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</si>
  <si>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</si>
  <si>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</si>
  <si>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Тех.обслуживание общедомовых приборов учета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</si>
  <si>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</si>
  <si>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</si>
  <si>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</si>
  <si>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</si>
  <si>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</si>
  <si>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</si>
  <si>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</si>
  <si>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</si>
  <si>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</si>
  <si>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</si>
  <si>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</si>
  <si>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</si>
  <si>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</si>
  <si>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2024г.</t>
  </si>
  <si>
    <t xml:space="preserve">                 ОТЧЕТ по дому Матросова, 61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</si>
</sst>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A2" sqref="A1:I1048576"/>
    </sheetView>
  </sheetViews>
  <sheetFormatPr defaultRowHeight="13.2" x14ac:dyDescent="0.25"/>
  <cols>
    <col min="1" max="1" width="58.5546875" customWidth="1"/>
    <col min="2" max="2" width="14.109375" customWidth="1"/>
    <col min="3" max="3" width="14.33203125" customWidth="1"/>
    <col min="4" max="5" width="14.109375" customWidth="1"/>
    <col min="6" max="6" width="14.33203125" customWidth="1"/>
    <col min="7" max="7" width="13.88671875" customWidth="1"/>
    <col min="8" max="9" width="14.5546875" customWidth="1"/>
    <col min="10" max="13" width="14" customWidth="1"/>
    <col min="14" max="14" width="16.3320312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-563954.22</v>
      </c>
      <c r="C5" s="8">
        <f t="shared" ref="C5:D6" si="0">B42</f>
        <v>-564548.91249999998</v>
      </c>
      <c r="D5" s="8">
        <f t="shared" si="0"/>
        <v>-468072.84297999996</v>
      </c>
      <c r="E5" s="8">
        <f t="shared" ref="E5:G6" si="1">D42</f>
        <v>-457426.50954999996</v>
      </c>
      <c r="F5" s="8">
        <f t="shared" si="1"/>
        <v>-452152.63760999998</v>
      </c>
      <c r="G5" s="8">
        <f t="shared" si="1"/>
        <v>-551055.40747999994</v>
      </c>
      <c r="H5" s="8">
        <f t="shared" ref="H5:H6" si="2">G42</f>
        <v>-516768.44040999992</v>
      </c>
      <c r="I5" s="8">
        <f t="shared" ref="I5:I6" si="3">H42</f>
        <v>-485311.65818999993</v>
      </c>
      <c r="J5" s="8">
        <f t="shared" ref="J5:J6" si="4">I42</f>
        <v>-481339.03470999992</v>
      </c>
      <c r="K5" s="8">
        <f t="shared" ref="K5:K6" si="5">J42</f>
        <v>-489669.49693999992</v>
      </c>
      <c r="L5" s="8">
        <f t="shared" ref="L5:L6" si="6">K42</f>
        <v>-465587.39485999994</v>
      </c>
      <c r="M5" s="8">
        <f t="shared" ref="M5:M6" si="7">L42</f>
        <v>-481500.63632999995</v>
      </c>
      <c r="N5" s="8">
        <f>B5</f>
        <v>-563954.22</v>
      </c>
    </row>
    <row r="6" spans="1:18" ht="21" customHeight="1" thickBot="1" x14ac:dyDescent="0.3">
      <c r="A6" s="7" t="s">
        <v>13</v>
      </c>
      <c r="B6" s="8">
        <v>-311247.71000000002</v>
      </c>
      <c r="C6" s="8">
        <f t="shared" si="0"/>
        <v>-317470.97000000003</v>
      </c>
      <c r="D6" s="8">
        <f t="shared" si="0"/>
        <v>-234741.27000000005</v>
      </c>
      <c r="E6" s="8">
        <f t="shared" si="1"/>
        <v>-237854.60000000003</v>
      </c>
      <c r="F6" s="8">
        <f t="shared" si="1"/>
        <v>-240532.98000000004</v>
      </c>
      <c r="G6" s="8">
        <f t="shared" si="1"/>
        <v>-247040.87000000005</v>
      </c>
      <c r="H6" s="8">
        <f t="shared" si="2"/>
        <v>-232058.12000000005</v>
      </c>
      <c r="I6" s="8">
        <f t="shared" si="3"/>
        <v>-219688.69000000006</v>
      </c>
      <c r="J6" s="8">
        <f t="shared" si="4"/>
        <v>-235610.19000000003</v>
      </c>
      <c r="K6" s="8">
        <f t="shared" si="5"/>
        <v>-262684.11000000004</v>
      </c>
      <c r="L6" s="8">
        <f t="shared" si="6"/>
        <v>-257601.23000000004</v>
      </c>
      <c r="M6" s="8">
        <f t="shared" si="7"/>
        <v>-287210.29000000004</v>
      </c>
      <c r="N6" s="8">
        <f>B6</f>
        <v>-311247.71000000002</v>
      </c>
    </row>
    <row r="7" spans="1:18" ht="20.25" customHeight="1" thickBot="1" x14ac:dyDescent="0.3">
      <c r="A7" s="9" t="s">
        <v>12</v>
      </c>
      <c r="B7" s="10">
        <f t="shared" ref="B7:M7" si="8">SUM(B8:B15)</f>
        <v>50971.380000000005</v>
      </c>
      <c r="C7" s="10">
        <f t="shared" si="8"/>
        <v>49143.66</v>
      </c>
      <c r="D7" s="10">
        <f t="shared" si="8"/>
        <v>49103.310000000005</v>
      </c>
      <c r="E7" s="10">
        <f t="shared" si="8"/>
        <v>49050.76</v>
      </c>
      <c r="F7" s="10">
        <f t="shared" si="8"/>
        <v>50502.770000000004</v>
      </c>
      <c r="G7" s="10">
        <f t="shared" si="8"/>
        <v>56753.46</v>
      </c>
      <c r="H7" s="10">
        <f t="shared" si="8"/>
        <v>56849.87</v>
      </c>
      <c r="I7" s="10">
        <f t="shared" si="8"/>
        <v>56818.46</v>
      </c>
      <c r="J7" s="10">
        <f t="shared" si="8"/>
        <v>56818.46</v>
      </c>
      <c r="K7" s="10">
        <f t="shared" si="8"/>
        <v>56818.46</v>
      </c>
      <c r="L7" s="10">
        <f t="shared" si="8"/>
        <v>56636.34</v>
      </c>
      <c r="M7" s="10">
        <f t="shared" si="8"/>
        <v>62467.61</v>
      </c>
      <c r="N7" s="10">
        <f>SUM(B7:M7)</f>
        <v>651934.54</v>
      </c>
    </row>
    <row r="8" spans="1:18" ht="24.75" customHeight="1" thickBot="1" x14ac:dyDescent="0.3">
      <c r="A8" s="4" t="s">
        <v>29</v>
      </c>
      <c r="B8" s="11">
        <f>28935.74+1482.26</f>
        <v>30418</v>
      </c>
      <c r="C8" s="11">
        <f>28935.74+1482.26</f>
        <v>30418</v>
      </c>
      <c r="D8" s="11">
        <f>28935.74+1482.26</f>
        <v>30418</v>
      </c>
      <c r="E8" s="11">
        <f>28935.74+1482.26</f>
        <v>30418</v>
      </c>
      <c r="F8" s="11">
        <f>28935.74+1482.26</f>
        <v>30418</v>
      </c>
      <c r="G8" s="11">
        <f t="shared" ref="G8:L8" si="9">33725.53+1482.26</f>
        <v>35207.79</v>
      </c>
      <c r="H8" s="11">
        <f t="shared" si="9"/>
        <v>35207.79</v>
      </c>
      <c r="I8" s="11">
        <f t="shared" si="9"/>
        <v>35207.79</v>
      </c>
      <c r="J8" s="11">
        <f t="shared" si="9"/>
        <v>35207.79</v>
      </c>
      <c r="K8" s="11">
        <f t="shared" si="9"/>
        <v>35207.79</v>
      </c>
      <c r="L8" s="11">
        <f t="shared" si="9"/>
        <v>35207.79</v>
      </c>
      <c r="M8" s="11">
        <f>33725.53+1482.26</f>
        <v>35207.79</v>
      </c>
      <c r="N8" s="11">
        <f>SUM(B8:M8)</f>
        <v>398544.52999999997</v>
      </c>
    </row>
    <row r="9" spans="1:18" ht="24.75" customHeight="1" thickBot="1" x14ac:dyDescent="0.3">
      <c r="A9" s="4" t="s">
        <v>17</v>
      </c>
      <c r="B9" s="11">
        <v>17596.939999999999</v>
      </c>
      <c r="C9" s="11">
        <v>17596.939999999999</v>
      </c>
      <c r="D9" s="11">
        <v>17596.939999999999</v>
      </c>
      <c r="E9" s="11">
        <v>17596.939999999999</v>
      </c>
      <c r="F9" s="11">
        <v>17596.939999999999</v>
      </c>
      <c r="G9" s="11">
        <v>20509.849999999999</v>
      </c>
      <c r="H9" s="11">
        <v>20509.849999999999</v>
      </c>
      <c r="I9" s="11">
        <v>20509.849999999999</v>
      </c>
      <c r="J9" s="11">
        <v>20509.849999999999</v>
      </c>
      <c r="K9" s="11">
        <v>20509.849999999999</v>
      </c>
      <c r="L9" s="11">
        <v>20509.849999999999</v>
      </c>
      <c r="M9" s="11">
        <v>20509.849999999999</v>
      </c>
      <c r="N9" s="11">
        <f>SUM(B9:M9)</f>
        <v>231553.65000000002</v>
      </c>
    </row>
    <row r="10" spans="1:18" ht="24.75" customHeight="1" thickBot="1" x14ac:dyDescent="0.3">
      <c r="A10" s="4" t="s">
        <v>18</v>
      </c>
      <c r="B10" s="11">
        <v>0</v>
      </c>
      <c r="C10" s="11">
        <v>0</v>
      </c>
      <c r="D10" s="11">
        <f>34.17+18.38</f>
        <v>52.55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-114.12</v>
      </c>
      <c r="M10" s="11">
        <f>4002+2425.9</f>
        <v>6427.9</v>
      </c>
      <c r="N10" s="11">
        <f t="shared" ref="N10" si="10">SUM(B10:M10)</f>
        <v>6366.33</v>
      </c>
    </row>
    <row r="11" spans="1:18" ht="24.75" customHeight="1" thickBot="1" x14ac:dyDescent="0.3">
      <c r="A11" s="4" t="s">
        <v>19</v>
      </c>
      <c r="B11" s="11">
        <f>148.46+91.89</f>
        <v>240.35000000000002</v>
      </c>
      <c r="C11" s="11">
        <f>148.46+91.89</f>
        <v>240.35000000000002</v>
      </c>
      <c r="D11" s="11">
        <f>92.32+55.13</f>
        <v>147.44999999999999</v>
      </c>
      <c r="E11" s="11">
        <f>92.32+55.13</f>
        <v>147.44999999999999</v>
      </c>
      <c r="F11" s="11">
        <f>92.32+55.13</f>
        <v>147.44999999999999</v>
      </c>
      <c r="G11" s="11">
        <f>92.32+55.13</f>
        <v>147.44999999999999</v>
      </c>
      <c r="H11" s="11">
        <f>102.02+64.32</f>
        <v>166.33999999999997</v>
      </c>
      <c r="I11" s="11">
        <f>102.02+64.32</f>
        <v>166.33999999999997</v>
      </c>
      <c r="J11" s="11">
        <f>102.02+64.32</f>
        <v>166.33999999999997</v>
      </c>
      <c r="K11" s="11">
        <f>102.02+64.32</f>
        <v>166.33999999999997</v>
      </c>
      <c r="L11" s="11">
        <f>102.02+64.32</f>
        <v>166.33999999999997</v>
      </c>
      <c r="M11" s="11">
        <f>102.02+64.32</f>
        <v>166.33999999999997</v>
      </c>
      <c r="N11" s="11">
        <f>SUM(B11:M11)</f>
        <v>2068.54</v>
      </c>
    </row>
    <row r="12" spans="1:18" ht="24.75" customHeight="1" thickBot="1" x14ac:dyDescent="0.3">
      <c r="A12" s="4" t="s">
        <v>20</v>
      </c>
      <c r="B12" s="11">
        <f>1138.54+689.18</f>
        <v>1827.7199999999998</v>
      </c>
      <c r="C12" s="11">
        <v>0</v>
      </c>
      <c r="D12" s="11">
        <v>0</v>
      </c>
      <c r="E12" s="11">
        <v>0</v>
      </c>
      <c r="F12" s="11">
        <f>900.67+551.34</f>
        <v>1452.01</v>
      </c>
      <c r="G12" s="11">
        <v>0</v>
      </c>
      <c r="H12" s="11">
        <f>22.22+9.19</f>
        <v>31.409999999999997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ref="N12:N15" si="11">SUM(B12:M12)</f>
        <v>3311.1399999999994</v>
      </c>
    </row>
    <row r="13" spans="1:18" ht="24.75" hidden="1" customHeight="1" thickBot="1" x14ac:dyDescent="0.3">
      <c r="A13" s="4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1"/>
        <v>0</v>
      </c>
    </row>
    <row r="14" spans="1:18" ht="24.75" customHeight="1" thickBot="1" x14ac:dyDescent="0.3">
      <c r="A14" s="4" t="s">
        <v>27</v>
      </c>
      <c r="B14" s="11">
        <f t="shared" ref="B14:G14" si="12">178.1+110.27</f>
        <v>288.37</v>
      </c>
      <c r="C14" s="11">
        <f t="shared" si="12"/>
        <v>288.37</v>
      </c>
      <c r="D14" s="11">
        <f t="shared" si="12"/>
        <v>288.37</v>
      </c>
      <c r="E14" s="11">
        <f t="shared" si="12"/>
        <v>288.37</v>
      </c>
      <c r="F14" s="11">
        <f t="shared" si="12"/>
        <v>288.37</v>
      </c>
      <c r="G14" s="11">
        <f t="shared" si="12"/>
        <v>288.37</v>
      </c>
      <c r="H14" s="11">
        <f>205.83+128.65</f>
        <v>334.48</v>
      </c>
      <c r="I14" s="11">
        <f>205.83+128.65</f>
        <v>334.48</v>
      </c>
      <c r="J14" s="11">
        <f>205.83+128.65</f>
        <v>334.48</v>
      </c>
      <c r="K14" s="11">
        <f>205.83+128.65</f>
        <v>334.48</v>
      </c>
      <c r="L14" s="11">
        <f>165.4+101.08</f>
        <v>266.48</v>
      </c>
      <c r="M14" s="11">
        <v>-444.27</v>
      </c>
      <c r="N14" s="11">
        <f t="shared" si="11"/>
        <v>2890.35</v>
      </c>
    </row>
    <row r="15" spans="1:18" ht="24.75" customHeight="1" thickBot="1" x14ac:dyDescent="0.3">
      <c r="A15" s="4" t="s">
        <v>15</v>
      </c>
      <c r="B15" s="11">
        <v>600</v>
      </c>
      <c r="C15" s="11">
        <v>600</v>
      </c>
      <c r="D15" s="11">
        <v>600</v>
      </c>
      <c r="E15" s="11">
        <v>600</v>
      </c>
      <c r="F15" s="11">
        <v>600</v>
      </c>
      <c r="G15" s="11">
        <v>600</v>
      </c>
      <c r="H15" s="11">
        <v>600</v>
      </c>
      <c r="I15" s="11">
        <v>600</v>
      </c>
      <c r="J15" s="11">
        <v>600</v>
      </c>
      <c r="K15" s="11">
        <v>600</v>
      </c>
      <c r="L15" s="11">
        <v>600</v>
      </c>
      <c r="M15" s="11">
        <v>600</v>
      </c>
      <c r="N15" s="11">
        <f t="shared" si="11"/>
        <v>7200</v>
      </c>
    </row>
    <row r="16" spans="1:18" ht="20.25" customHeight="1" thickBot="1" x14ac:dyDescent="0.3">
      <c r="A16" s="12" t="s">
        <v>8</v>
      </c>
      <c r="B16" s="13">
        <f t="shared" ref="B16:M16" si="13">SUM(B17:B24)</f>
        <v>44748.12</v>
      </c>
      <c r="C16" s="13">
        <f t="shared" si="13"/>
        <v>131873.35999999999</v>
      </c>
      <c r="D16" s="13">
        <f t="shared" si="13"/>
        <v>45989.98</v>
      </c>
      <c r="E16" s="13">
        <f t="shared" si="13"/>
        <v>46372.380000000005</v>
      </c>
      <c r="F16" s="13">
        <f t="shared" si="13"/>
        <v>43994.87999999999</v>
      </c>
      <c r="G16" s="13">
        <f t="shared" si="13"/>
        <v>71736.209999999992</v>
      </c>
      <c r="H16" s="13">
        <f t="shared" si="13"/>
        <v>69219.299999999988</v>
      </c>
      <c r="I16" s="13">
        <f t="shared" si="13"/>
        <v>40896.960000000006</v>
      </c>
      <c r="J16" s="13">
        <f t="shared" si="13"/>
        <v>29744.539999999997</v>
      </c>
      <c r="K16" s="13">
        <f t="shared" si="13"/>
        <v>61901.340000000004</v>
      </c>
      <c r="L16" s="13">
        <f t="shared" si="13"/>
        <v>27027.280000000002</v>
      </c>
      <c r="M16" s="13">
        <f t="shared" si="13"/>
        <v>61401.539999999994</v>
      </c>
      <c r="N16" s="13">
        <f>SUM(B16:M16)</f>
        <v>674905.89</v>
      </c>
    </row>
    <row r="17" spans="1:15" ht="24" customHeight="1" thickBot="1" x14ac:dyDescent="0.3">
      <c r="A17" s="4" t="s">
        <v>29</v>
      </c>
      <c r="B17" s="11">
        <f>27050.48+848.43</f>
        <v>27898.91</v>
      </c>
      <c r="C17" s="11">
        <f>24977.42+797.62</f>
        <v>25775.039999999997</v>
      </c>
      <c r="D17" s="11">
        <f>25949.38+829.83</f>
        <v>26779.210000000003</v>
      </c>
      <c r="E17" s="11">
        <f>27030.87+847.96</f>
        <v>27878.829999999998</v>
      </c>
      <c r="F17" s="11">
        <f>24793.77+788.69</f>
        <v>25582.46</v>
      </c>
      <c r="G17" s="11">
        <f>49487.27+2288.33</f>
        <v>51775.6</v>
      </c>
      <c r="H17" s="11">
        <f>65477.09+2079.2+15.23+39.13</f>
        <v>67610.649999999994</v>
      </c>
      <c r="I17" s="11">
        <f>38759.23+3.89+1256.34+10.01</f>
        <v>40029.47</v>
      </c>
      <c r="J17" s="11">
        <f>29169.78+166.05-52.8</f>
        <v>29283.03</v>
      </c>
      <c r="K17" s="11">
        <f>58040.25+1814.15</f>
        <v>59854.400000000001</v>
      </c>
      <c r="L17" s="11">
        <f>25690.6+702.15</f>
        <v>26392.75</v>
      </c>
      <c r="M17" s="11">
        <f>40077.81+1095.34</f>
        <v>41173.149999999994</v>
      </c>
      <c r="N17" s="11">
        <f>SUM(B17:M17)</f>
        <v>450033.50000000012</v>
      </c>
    </row>
    <row r="18" spans="1:15" ht="26.25" customHeight="1" thickBot="1" x14ac:dyDescent="0.3">
      <c r="A18" s="4" t="s">
        <v>17</v>
      </c>
      <c r="B18" s="11">
        <v>13967.28</v>
      </c>
      <c r="C18" s="11">
        <v>98047.29</v>
      </c>
      <c r="D18" s="11">
        <v>17596.939999999999</v>
      </c>
      <c r="E18" s="11">
        <v>17596.939999999999</v>
      </c>
      <c r="F18" s="11">
        <v>17596.939999999999</v>
      </c>
      <c r="G18" s="11">
        <v>17596.939999999999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18313.68</v>
      </c>
      <c r="N18" s="11">
        <f>SUM(B18:M18)</f>
        <v>200716.00999999998</v>
      </c>
    </row>
    <row r="19" spans="1:15" ht="26.25" customHeight="1" thickBot="1" x14ac:dyDescent="0.3">
      <c r="A19" s="4" t="s">
        <v>18</v>
      </c>
      <c r="B19" s="11">
        <v>157.07</v>
      </c>
      <c r="C19" s="11">
        <f>0+109.64</f>
        <v>109.64</v>
      </c>
      <c r="D19" s="11">
        <v>0</v>
      </c>
      <c r="E19" s="11">
        <v>31.25</v>
      </c>
      <c r="F19" s="11">
        <v>18.38</v>
      </c>
      <c r="G19" s="11">
        <v>79.66</v>
      </c>
      <c r="H19" s="11">
        <v>26.09</v>
      </c>
      <c r="I19" s="11">
        <v>7.03</v>
      </c>
      <c r="J19" s="11">
        <v>0</v>
      </c>
      <c r="K19" s="11">
        <v>83.46</v>
      </c>
      <c r="L19" s="11">
        <v>0</v>
      </c>
      <c r="M19" s="11">
        <v>0</v>
      </c>
      <c r="N19" s="11">
        <f t="shared" ref="N19:N24" si="14">SUM(B19:M19)</f>
        <v>512.57999999999993</v>
      </c>
    </row>
    <row r="20" spans="1:15" ht="26.25" customHeight="1" thickBot="1" x14ac:dyDescent="0.3">
      <c r="A20" s="4" t="s">
        <v>19</v>
      </c>
      <c r="B20" s="11">
        <v>138.6</v>
      </c>
      <c r="C20" s="11">
        <f>128.15+459.45</f>
        <v>587.6</v>
      </c>
      <c r="D20" s="11">
        <f>133.13+91.89</f>
        <v>225.01999999999998</v>
      </c>
      <c r="E20" s="11">
        <f>88.05+91.89</f>
        <v>179.94</v>
      </c>
      <c r="F20" s="11">
        <f>79.09+55.13</f>
        <v>134.22</v>
      </c>
      <c r="G20" s="11">
        <f>131.78+55.13</f>
        <v>186.91</v>
      </c>
      <c r="H20" s="11">
        <v>198.46</v>
      </c>
      <c r="I20" s="11">
        <v>124.23</v>
      </c>
      <c r="J20" s="11">
        <v>21.21</v>
      </c>
      <c r="K20" s="11">
        <v>150.4</v>
      </c>
      <c r="L20" s="11">
        <v>77.72</v>
      </c>
      <c r="M20" s="11">
        <v>120.97</v>
      </c>
      <c r="N20" s="11">
        <f t="shared" si="14"/>
        <v>2145.2800000000002</v>
      </c>
    </row>
    <row r="21" spans="1:15" ht="26.25" customHeight="1" thickBot="1" x14ac:dyDescent="0.3">
      <c r="A21" s="4" t="s">
        <v>20</v>
      </c>
      <c r="B21" s="11">
        <v>419.54</v>
      </c>
      <c r="C21" s="11">
        <f>983.39+4713.96</f>
        <v>5697.35</v>
      </c>
      <c r="D21" s="11">
        <f>29.65+689.18</f>
        <v>718.82999999999993</v>
      </c>
      <c r="E21" s="11">
        <v>8.6199999999999992</v>
      </c>
      <c r="F21" s="11">
        <v>0</v>
      </c>
      <c r="G21" s="11">
        <v>1286.7</v>
      </c>
      <c r="H21" s="11">
        <v>223.95</v>
      </c>
      <c r="I21" s="11">
        <v>102.22</v>
      </c>
      <c r="J21" s="11">
        <v>-9.18</v>
      </c>
      <c r="K21" s="11">
        <v>464.11</v>
      </c>
      <c r="L21" s="11">
        <v>0</v>
      </c>
      <c r="M21" s="11">
        <v>0.64</v>
      </c>
      <c r="N21" s="11">
        <f t="shared" si="14"/>
        <v>8912.7799999999988</v>
      </c>
    </row>
    <row r="22" spans="1:15" ht="26.25" hidden="1" customHeight="1" thickBot="1" x14ac:dyDescent="0.3">
      <c r="A22" s="4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4"/>
        <v>0</v>
      </c>
    </row>
    <row r="23" spans="1:15" ht="26.25" customHeight="1" thickBot="1" x14ac:dyDescent="0.3">
      <c r="A23" s="4" t="s">
        <v>27</v>
      </c>
      <c r="B23" s="11">
        <v>166.72</v>
      </c>
      <c r="C23" s="11">
        <f>153.74+1102.7</f>
        <v>1256.44</v>
      </c>
      <c r="D23" s="11">
        <f>159.71+110.27</f>
        <v>269.98</v>
      </c>
      <c r="E23" s="11">
        <f>166.53+110.27</f>
        <v>276.8</v>
      </c>
      <c r="F23" s="11">
        <f>152.61+110.27</f>
        <v>262.88</v>
      </c>
      <c r="G23" s="11">
        <f>300.13+110.27</f>
        <v>410.4</v>
      </c>
      <c r="H23" s="11">
        <v>360.15</v>
      </c>
      <c r="I23" s="11">
        <v>234.01</v>
      </c>
      <c r="J23" s="11">
        <v>49.48</v>
      </c>
      <c r="K23" s="11">
        <v>348.97</v>
      </c>
      <c r="L23" s="11">
        <v>156.81</v>
      </c>
      <c r="M23" s="11">
        <v>193.1</v>
      </c>
      <c r="N23" s="11">
        <f t="shared" si="14"/>
        <v>3985.74</v>
      </c>
    </row>
    <row r="24" spans="1:15" ht="26.25" customHeight="1" thickBot="1" x14ac:dyDescent="0.3">
      <c r="A24" s="4" t="s">
        <v>15</v>
      </c>
      <c r="B24" s="14">
        <v>2000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800</v>
      </c>
      <c r="I24" s="14">
        <v>400</v>
      </c>
      <c r="J24" s="14">
        <v>400</v>
      </c>
      <c r="K24" s="14">
        <v>1000</v>
      </c>
      <c r="L24" s="14">
        <v>400</v>
      </c>
      <c r="M24" s="14">
        <v>1600</v>
      </c>
      <c r="N24" s="11">
        <f t="shared" si="14"/>
        <v>8600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5">2429.9*0.6</f>
        <v>1457.94</v>
      </c>
      <c r="C26" s="11">
        <f t="shared" si="15"/>
        <v>1457.94</v>
      </c>
      <c r="D26" s="11">
        <f t="shared" si="15"/>
        <v>1457.94</v>
      </c>
      <c r="E26" s="11">
        <f t="shared" si="15"/>
        <v>1457.94</v>
      </c>
      <c r="F26" s="11">
        <f t="shared" si="15"/>
        <v>1457.94</v>
      </c>
      <c r="G26" s="11">
        <f t="shared" si="15"/>
        <v>1457.94</v>
      </c>
      <c r="H26" s="11">
        <f t="shared" si="15"/>
        <v>1457.94</v>
      </c>
      <c r="I26" s="11">
        <f t="shared" si="15"/>
        <v>1457.94</v>
      </c>
      <c r="J26" s="11">
        <f t="shared" si="15"/>
        <v>1457.94</v>
      </c>
      <c r="K26" s="11">
        <f t="shared" si="15"/>
        <v>1457.94</v>
      </c>
      <c r="L26" s="11">
        <f t="shared" si="15"/>
        <v>1457.94</v>
      </c>
      <c r="M26" s="11">
        <f t="shared" si="15"/>
        <v>1457.94</v>
      </c>
      <c r="N26" s="11">
        <f t="shared" ref="N26:N39" si="16">SUM(B26:M26)</f>
        <v>17495.280000000002</v>
      </c>
    </row>
    <row r="27" spans="1:15" ht="22.5" customHeight="1" thickBot="1" x14ac:dyDescent="0.3">
      <c r="A27" s="4" t="s">
        <v>2</v>
      </c>
      <c r="B27" s="20">
        <f t="shared" ref="B27:M27" si="17">2429.9*0.17</f>
        <v>413.08300000000003</v>
      </c>
      <c r="C27" s="20">
        <f t="shared" si="17"/>
        <v>413.08300000000003</v>
      </c>
      <c r="D27" s="20">
        <f t="shared" si="17"/>
        <v>413.08300000000003</v>
      </c>
      <c r="E27" s="20">
        <f t="shared" si="17"/>
        <v>413.08300000000003</v>
      </c>
      <c r="F27" s="20">
        <f t="shared" si="17"/>
        <v>413.08300000000003</v>
      </c>
      <c r="G27" s="20">
        <f t="shared" si="17"/>
        <v>413.08300000000003</v>
      </c>
      <c r="H27" s="20">
        <f t="shared" si="17"/>
        <v>413.08300000000003</v>
      </c>
      <c r="I27" s="20">
        <f t="shared" si="17"/>
        <v>413.08300000000003</v>
      </c>
      <c r="J27" s="20">
        <f t="shared" si="17"/>
        <v>413.08300000000003</v>
      </c>
      <c r="K27" s="20">
        <f t="shared" si="17"/>
        <v>413.08300000000003</v>
      </c>
      <c r="L27" s="20">
        <f t="shared" si="17"/>
        <v>413.08300000000003</v>
      </c>
      <c r="M27" s="20">
        <f t="shared" si="17"/>
        <v>413.08300000000003</v>
      </c>
      <c r="N27" s="11">
        <f t="shared" si="16"/>
        <v>4956.9959999999992</v>
      </c>
    </row>
    <row r="28" spans="1:15" ht="21" customHeight="1" thickBot="1" x14ac:dyDescent="0.3">
      <c r="A28" s="4" t="s">
        <v>3</v>
      </c>
      <c r="B28" s="11">
        <f>31883.1*2.3%</f>
        <v>733.31129999999996</v>
      </c>
      <c r="C28" s="11">
        <f>30744.56*2.3%</f>
        <v>707.12487999999996</v>
      </c>
      <c r="D28" s="11">
        <f>30722.59*2.3%</f>
        <v>706.61956999999995</v>
      </c>
      <c r="E28" s="11">
        <f>30688.42*2.3%</f>
        <v>705.8336599999999</v>
      </c>
      <c r="F28" s="11">
        <f>31589.09*2.3%</f>
        <v>726.54907000000003</v>
      </c>
      <c r="G28" s="11">
        <f>35478.21*2.3%</f>
        <v>815.99883</v>
      </c>
      <c r="H28" s="11">
        <f>35537.86*2.3%</f>
        <v>817.37077999999997</v>
      </c>
      <c r="I28" s="11">
        <f>35515.64*2.3%</f>
        <v>816.85971999999992</v>
      </c>
      <c r="J28" s="11">
        <f>35708.61*2.3%</f>
        <v>821.29803000000004</v>
      </c>
      <c r="K28" s="11">
        <f>35515.64*2.3%</f>
        <v>816.85971999999992</v>
      </c>
      <c r="L28" s="11">
        <f>35361.09*2.3%</f>
        <v>813.30506999999989</v>
      </c>
      <c r="M28" s="11">
        <f>38867.54*2.3%</f>
        <v>893.95342000000005</v>
      </c>
      <c r="N28" s="11">
        <f t="shared" si="16"/>
        <v>9375.0840499999995</v>
      </c>
    </row>
    <row r="29" spans="1:15" ht="23.25" customHeight="1" thickBot="1" x14ac:dyDescent="0.3">
      <c r="A29" s="4" t="s">
        <v>4</v>
      </c>
      <c r="B29" s="11">
        <f>28780.84*3%</f>
        <v>863.42520000000002</v>
      </c>
      <c r="C29" s="11">
        <f>27040.32*3%</f>
        <v>811.20959999999991</v>
      </c>
      <c r="D29" s="11">
        <f>27101.7*3%</f>
        <v>813.05100000000004</v>
      </c>
      <c r="E29" s="11">
        <f>28173.28*3%</f>
        <v>845.19839999999988</v>
      </c>
      <c r="F29" s="11">
        <f>25814.16*3%</f>
        <v>774.4248</v>
      </c>
      <c r="G29" s="11">
        <f>53573.87*3%</f>
        <v>1607.2161000000001</v>
      </c>
      <c r="H29" s="11">
        <f>68419.3*3%</f>
        <v>2052.5790000000002</v>
      </c>
      <c r="I29" s="11">
        <f>40496.96*3%</f>
        <v>1214.9087999999999</v>
      </c>
      <c r="J29" s="11">
        <f>29344.54*3%</f>
        <v>880.33619999999996</v>
      </c>
      <c r="K29" s="11">
        <f>60901.34*3%</f>
        <v>1827.0401999999999</v>
      </c>
      <c r="L29" s="11">
        <f>26627.28*3%</f>
        <v>798.81839999999988</v>
      </c>
      <c r="M29" s="11">
        <f>41487.86*3%</f>
        <v>1244.6358</v>
      </c>
      <c r="N29" s="11">
        <f t="shared" si="16"/>
        <v>13732.843499999997</v>
      </c>
    </row>
    <row r="30" spans="1:15" ht="23.25" customHeight="1" thickBot="1" x14ac:dyDescent="0.3">
      <c r="A30" s="4" t="s">
        <v>9</v>
      </c>
      <c r="B30" s="11">
        <f t="shared" ref="B30:M30" si="18">2429.9*9.7</f>
        <v>23570.03</v>
      </c>
      <c r="C30" s="11">
        <f t="shared" si="18"/>
        <v>23570.03</v>
      </c>
      <c r="D30" s="11">
        <f t="shared" si="18"/>
        <v>23570.03</v>
      </c>
      <c r="E30" s="11">
        <f t="shared" si="18"/>
        <v>23570.03</v>
      </c>
      <c r="F30" s="11">
        <f t="shared" si="18"/>
        <v>23570.03</v>
      </c>
      <c r="G30" s="11">
        <f t="shared" si="18"/>
        <v>23570.03</v>
      </c>
      <c r="H30" s="11">
        <f t="shared" si="18"/>
        <v>23570.03</v>
      </c>
      <c r="I30" s="11">
        <f t="shared" si="18"/>
        <v>23570.03</v>
      </c>
      <c r="J30" s="11">
        <f t="shared" si="18"/>
        <v>23570.03</v>
      </c>
      <c r="K30" s="11">
        <f t="shared" si="18"/>
        <v>23570.03</v>
      </c>
      <c r="L30" s="11">
        <f t="shared" si="18"/>
        <v>23570.03</v>
      </c>
      <c r="M30" s="11">
        <f t="shared" si="18"/>
        <v>23570.03</v>
      </c>
      <c r="N30" s="11">
        <f t="shared" si="16"/>
        <v>282840.36</v>
      </c>
    </row>
    <row r="31" spans="1:15" ht="26.25" customHeight="1" thickBot="1" x14ac:dyDescent="0.3">
      <c r="A31" s="4" t="s">
        <v>21</v>
      </c>
      <c r="B31" s="11">
        <v>0</v>
      </c>
      <c r="C31" s="11">
        <f>0+54.98</f>
        <v>54.98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f>253.01+29.76</f>
        <v>282.77</v>
      </c>
      <c r="L31" s="11">
        <f>5758.43+677.4</f>
        <v>6435.83</v>
      </c>
      <c r="M31" s="11">
        <v>0</v>
      </c>
      <c r="N31" s="11">
        <f t="shared" si="16"/>
        <v>6773.58</v>
      </c>
    </row>
    <row r="32" spans="1:15" ht="26.25" customHeight="1" thickBot="1" x14ac:dyDescent="0.3">
      <c r="A32" s="4" t="s">
        <v>22</v>
      </c>
      <c r="B32" s="11">
        <v>222.67</v>
      </c>
      <c r="C32" s="11">
        <v>222.67</v>
      </c>
      <c r="D32" s="11">
        <v>222.67</v>
      </c>
      <c r="E32" s="11">
        <v>222.67</v>
      </c>
      <c r="F32" s="11">
        <v>222.67</v>
      </c>
      <c r="G32" s="11">
        <v>222.67</v>
      </c>
      <c r="H32" s="11">
        <v>245.93</v>
      </c>
      <c r="I32" s="11">
        <v>245.93</v>
      </c>
      <c r="J32" s="11">
        <v>245.93</v>
      </c>
      <c r="K32" s="11">
        <v>245.93</v>
      </c>
      <c r="L32" s="11">
        <v>245.93</v>
      </c>
      <c r="M32" s="11">
        <v>245.93</v>
      </c>
      <c r="N32" s="11">
        <f t="shared" si="16"/>
        <v>2811.5999999999995</v>
      </c>
    </row>
    <row r="33" spans="1:14" ht="26.25" customHeight="1" thickBot="1" x14ac:dyDescent="0.3">
      <c r="A33" s="4" t="s">
        <v>23</v>
      </c>
      <c r="B33" s="11">
        <v>0</v>
      </c>
      <c r="C33" s="11">
        <v>0</v>
      </c>
      <c r="D33" s="11">
        <v>0</v>
      </c>
      <c r="E33" s="11">
        <v>1448.4</v>
      </c>
      <c r="F33" s="11">
        <v>0</v>
      </c>
      <c r="G33" s="11">
        <v>35.700000000000003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6"/>
        <v>1484.1000000000001</v>
      </c>
    </row>
    <row r="34" spans="1:14" ht="26.25" customHeight="1" thickBot="1" x14ac:dyDescent="0.3">
      <c r="A34" s="4" t="s">
        <v>27</v>
      </c>
      <c r="B34" s="11">
        <v>286.44</v>
      </c>
      <c r="C34" s="11">
        <v>286.44</v>
      </c>
      <c r="D34" s="11">
        <v>286.44</v>
      </c>
      <c r="E34" s="11">
        <v>286.44</v>
      </c>
      <c r="F34" s="11">
        <v>286.44</v>
      </c>
      <c r="G34" s="11">
        <v>286.44</v>
      </c>
      <c r="H34" s="11">
        <v>165.42</v>
      </c>
      <c r="I34" s="11">
        <v>165.42</v>
      </c>
      <c r="J34" s="11">
        <v>165.42</v>
      </c>
      <c r="K34" s="11">
        <v>165.42</v>
      </c>
      <c r="L34" s="11">
        <v>165.42</v>
      </c>
      <c r="M34" s="11">
        <v>165.42</v>
      </c>
      <c r="N34" s="11">
        <f t="shared" si="16"/>
        <v>2711.1600000000003</v>
      </c>
    </row>
    <row r="35" spans="1:14" ht="22.5" customHeight="1" thickBot="1" x14ac:dyDescent="0.3">
      <c r="A35" s="4" t="s">
        <v>6</v>
      </c>
      <c r="B35" s="11">
        <f t="shared" ref="B35:F35" si="19">2429.9*2.87</f>
        <v>6973.8130000000001</v>
      </c>
      <c r="C35" s="11">
        <f t="shared" si="19"/>
        <v>6973.8130000000001</v>
      </c>
      <c r="D35" s="11">
        <f t="shared" si="19"/>
        <v>6973.8130000000001</v>
      </c>
      <c r="E35" s="11">
        <f t="shared" si="19"/>
        <v>6973.8130000000001</v>
      </c>
      <c r="F35" s="11">
        <f t="shared" si="19"/>
        <v>6973.8130000000001</v>
      </c>
      <c r="G35" s="11">
        <f t="shared" ref="G35:M35" si="20">2429.9*3.35</f>
        <v>8140.1650000000009</v>
      </c>
      <c r="H35" s="11">
        <f t="shared" si="20"/>
        <v>8140.1650000000009</v>
      </c>
      <c r="I35" s="11">
        <f t="shared" si="20"/>
        <v>8140.1650000000009</v>
      </c>
      <c r="J35" s="11">
        <f t="shared" si="20"/>
        <v>8140.1650000000009</v>
      </c>
      <c r="K35" s="11">
        <f t="shared" si="20"/>
        <v>8140.1650000000009</v>
      </c>
      <c r="L35" s="11">
        <f t="shared" si="20"/>
        <v>8140.1650000000009</v>
      </c>
      <c r="M35" s="11">
        <f t="shared" si="20"/>
        <v>8140.1650000000009</v>
      </c>
      <c r="N35" s="11">
        <f t="shared" si="16"/>
        <v>91850.22000000003</v>
      </c>
    </row>
    <row r="36" spans="1:14" ht="21.75" hidden="1" customHeight="1" thickBot="1" x14ac:dyDescent="0.3">
      <c r="A36" s="4" t="s">
        <v>26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16"/>
        <v>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9069.06</v>
      </c>
      <c r="N37" s="11">
        <f t="shared" si="16"/>
        <v>9069.06</v>
      </c>
    </row>
    <row r="38" spans="1:14" ht="24.75" customHeight="1" thickBot="1" x14ac:dyDescent="0.3">
      <c r="A38" s="4" t="s">
        <v>28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16"/>
        <v>10800</v>
      </c>
    </row>
    <row r="39" spans="1:14" ht="24" customHeight="1" thickBot="1" x14ac:dyDescent="0.3">
      <c r="A39" s="4" t="s">
        <v>10</v>
      </c>
      <c r="B39" s="11">
        <f>1356.4+8565.7</f>
        <v>9922.1</v>
      </c>
      <c r="C39" s="11">
        <v>0</v>
      </c>
      <c r="D39" s="11">
        <v>0</v>
      </c>
      <c r="E39" s="11">
        <f>2499.3+1775.8</f>
        <v>4275.1000000000004</v>
      </c>
      <c r="F39" s="11">
        <f>4795.5+3594.2+99183</f>
        <v>107572.7</v>
      </c>
      <c r="G39" s="11">
        <v>0</v>
      </c>
      <c r="H39" s="11">
        <v>0</v>
      </c>
      <c r="I39" s="11">
        <v>0</v>
      </c>
      <c r="J39" s="11">
        <f>1480.8</f>
        <v>1480.8</v>
      </c>
      <c r="K39" s="11">
        <v>0</v>
      </c>
      <c r="L39" s="11">
        <v>0</v>
      </c>
      <c r="M39" s="11">
        <v>0</v>
      </c>
      <c r="N39" s="11">
        <f t="shared" si="16"/>
        <v>123250.7</v>
      </c>
    </row>
    <row r="40" spans="1:14" ht="22.5" customHeight="1" thickBot="1" x14ac:dyDescent="0.3">
      <c r="A40" s="9" t="s">
        <v>24</v>
      </c>
      <c r="B40" s="10">
        <f t="shared" ref="B40:M40" si="21">SUM(B26:B39)</f>
        <v>45342.812499999993</v>
      </c>
      <c r="C40" s="10">
        <f t="shared" si="21"/>
        <v>35397.290479999996</v>
      </c>
      <c r="D40" s="10">
        <f t="shared" si="21"/>
        <v>35343.646569999997</v>
      </c>
      <c r="E40" s="10">
        <f t="shared" si="21"/>
        <v>41098.508059999993</v>
      </c>
      <c r="F40" s="10">
        <f t="shared" si="21"/>
        <v>142897.64986999999</v>
      </c>
      <c r="G40" s="10">
        <f t="shared" si="21"/>
        <v>37449.242929999993</v>
      </c>
      <c r="H40" s="10">
        <f t="shared" si="21"/>
        <v>37762.517779999995</v>
      </c>
      <c r="I40" s="10">
        <f t="shared" si="21"/>
        <v>36924.336519999997</v>
      </c>
      <c r="J40" s="10">
        <f t="shared" si="21"/>
        <v>38075.002229999998</v>
      </c>
      <c r="K40" s="10">
        <f t="shared" si="21"/>
        <v>37819.23792</v>
      </c>
      <c r="L40" s="10">
        <f t="shared" si="21"/>
        <v>42940.52147</v>
      </c>
      <c r="M40" s="10">
        <f t="shared" si="21"/>
        <v>46100.217219999991</v>
      </c>
      <c r="N40" s="10">
        <f>SUM(B40:M40)</f>
        <v>577150.98354999989</v>
      </c>
    </row>
    <row r="41" spans="1:14" ht="23.25" customHeight="1" thickBot="1" x14ac:dyDescent="0.3">
      <c r="A41" s="4" t="s">
        <v>5</v>
      </c>
      <c r="B41" s="18">
        <f t="shared" ref="B41:N41" si="22">B16-B40</f>
        <v>-594.6924999999901</v>
      </c>
      <c r="C41" s="18">
        <f t="shared" si="22"/>
        <v>96476.06951999999</v>
      </c>
      <c r="D41" s="18">
        <f t="shared" si="22"/>
        <v>10646.333430000006</v>
      </c>
      <c r="E41" s="18">
        <f t="shared" si="22"/>
        <v>5273.8719400000118</v>
      </c>
      <c r="F41" s="18">
        <f t="shared" si="22"/>
        <v>-98902.769870000004</v>
      </c>
      <c r="G41" s="18">
        <f t="shared" si="22"/>
        <v>34286.967069999999</v>
      </c>
      <c r="H41" s="18">
        <f t="shared" si="22"/>
        <v>31456.782219999994</v>
      </c>
      <c r="I41" s="18">
        <f t="shared" si="22"/>
        <v>3972.6234800000093</v>
      </c>
      <c r="J41" s="18">
        <f t="shared" si="22"/>
        <v>-8330.462230000001</v>
      </c>
      <c r="K41" s="18">
        <f t="shared" si="22"/>
        <v>24082.102080000004</v>
      </c>
      <c r="L41" s="18">
        <f t="shared" si="22"/>
        <v>-15913.241469999997</v>
      </c>
      <c r="M41" s="18">
        <f t="shared" si="22"/>
        <v>15301.322780000002</v>
      </c>
      <c r="N41" s="11">
        <f t="shared" si="22"/>
        <v>97754.906450000126</v>
      </c>
    </row>
    <row r="42" spans="1:14" ht="23.25" customHeight="1" thickBot="1" x14ac:dyDescent="0.3">
      <c r="A42" s="4" t="s">
        <v>7</v>
      </c>
      <c r="B42" s="14">
        <f t="shared" ref="B42:N42" si="23">B5+B41</f>
        <v>-564548.91249999998</v>
      </c>
      <c r="C42" s="14">
        <f t="shared" si="23"/>
        <v>-468072.84297999996</v>
      </c>
      <c r="D42" s="14">
        <f t="shared" si="23"/>
        <v>-457426.50954999996</v>
      </c>
      <c r="E42" s="14">
        <f t="shared" si="23"/>
        <v>-452152.63760999998</v>
      </c>
      <c r="F42" s="14">
        <f t="shared" si="23"/>
        <v>-551055.40747999994</v>
      </c>
      <c r="G42" s="14">
        <f t="shared" si="23"/>
        <v>-516768.44040999992</v>
      </c>
      <c r="H42" s="14">
        <f t="shared" si="23"/>
        <v>-485311.65818999993</v>
      </c>
      <c r="I42" s="14">
        <f t="shared" si="23"/>
        <v>-481339.03470999992</v>
      </c>
      <c r="J42" s="14">
        <f t="shared" si="23"/>
        <v>-489669.49693999992</v>
      </c>
      <c r="K42" s="14">
        <f t="shared" si="23"/>
        <v>-465587.39485999994</v>
      </c>
      <c r="L42" s="14">
        <f t="shared" si="23"/>
        <v>-481500.63632999995</v>
      </c>
      <c r="M42" s="14">
        <f t="shared" si="23"/>
        <v>-466199.31354999996</v>
      </c>
      <c r="N42" s="14">
        <f t="shared" si="23"/>
        <v>-466199.31354999985</v>
      </c>
    </row>
    <row r="43" spans="1:14" ht="27" customHeight="1" thickBot="1" x14ac:dyDescent="0.3">
      <c r="A43" s="15" t="s">
        <v>11</v>
      </c>
      <c r="B43" s="19">
        <f t="shared" ref="B43:M43" si="24">B6+B16-B7</f>
        <v>-317470.97000000003</v>
      </c>
      <c r="C43" s="19">
        <f t="shared" si="24"/>
        <v>-234741.27000000005</v>
      </c>
      <c r="D43" s="19">
        <f t="shared" si="24"/>
        <v>-237854.60000000003</v>
      </c>
      <c r="E43" s="19">
        <f t="shared" si="24"/>
        <v>-240532.98000000004</v>
      </c>
      <c r="F43" s="19">
        <f t="shared" si="24"/>
        <v>-247040.87000000005</v>
      </c>
      <c r="G43" s="19">
        <f t="shared" si="24"/>
        <v>-232058.12000000005</v>
      </c>
      <c r="H43" s="19">
        <f t="shared" si="24"/>
        <v>-219688.69000000006</v>
      </c>
      <c r="I43" s="19">
        <f t="shared" si="24"/>
        <v>-235610.19000000003</v>
      </c>
      <c r="J43" s="19">
        <f t="shared" si="24"/>
        <v>-262684.11000000004</v>
      </c>
      <c r="K43" s="19">
        <f t="shared" si="24"/>
        <v>-257601.23000000004</v>
      </c>
      <c r="L43" s="19">
        <f t="shared" si="24"/>
        <v>-287210.29000000004</v>
      </c>
      <c r="M43" s="19">
        <f t="shared" si="24"/>
        <v>-288276.36000000004</v>
      </c>
      <c r="N43" s="17">
        <f t="shared" ref="N43" si="25">N6+N16-N7</f>
        <v>-288276.36000000004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2025-03-17T04:49:49Z</cp:lastPrinted>
  <dcterms:created xsi:type="dcterms:W3CDTF">2011-06-06T03:25:48Z</dcterms:created>
  <dcterms:modified xsi:type="dcterms:W3CDTF">2025-03-17T04:57:38Z</dcterms:modified>
</cp:coreProperties>
</file>