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L38" i="1" l="1"/>
  <c r="M38" i="1" l="1"/>
  <c r="M36" i="1" l="1"/>
  <c r="L36" i="1"/>
  <c r="K36" i="1"/>
  <c r="K38" i="1" l="1"/>
  <c r="M28" i="1" l="1"/>
  <c r="M17" i="1"/>
  <c r="M27" i="1"/>
  <c r="M9" i="1"/>
  <c r="L28" i="1" l="1"/>
  <c r="L17" i="1"/>
  <c r="L27" i="1"/>
  <c r="L9" i="1"/>
  <c r="I43" i="1"/>
  <c r="N42" i="1"/>
  <c r="K28" i="1" l="1"/>
  <c r="K17" i="1"/>
  <c r="K27" i="1"/>
  <c r="K9" i="1"/>
  <c r="K34" i="1" l="1"/>
  <c r="L34" i="1"/>
  <c r="M34" i="1"/>
  <c r="K29" i="1"/>
  <c r="L29" i="1"/>
  <c r="M29" i="1"/>
  <c r="K26" i="1"/>
  <c r="L26" i="1"/>
  <c r="M26" i="1"/>
  <c r="K25" i="1"/>
  <c r="L25" i="1"/>
  <c r="M25" i="1"/>
  <c r="I27" i="1" l="1"/>
  <c r="I9" i="1" l="1"/>
  <c r="J38" i="1" l="1"/>
  <c r="I38" i="1" l="1"/>
  <c r="J36" i="1" l="1"/>
  <c r="I36" i="1"/>
  <c r="H36" i="1"/>
  <c r="H38" i="1" l="1"/>
  <c r="J28" i="1" l="1"/>
  <c r="J17" i="1"/>
  <c r="J27" i="1"/>
  <c r="J9" i="1"/>
  <c r="I28" i="1" l="1"/>
  <c r="I17" i="1"/>
  <c r="H28" i="1" l="1"/>
  <c r="H17" i="1"/>
  <c r="H27" i="1"/>
  <c r="H9" i="1"/>
  <c r="H34" i="1"/>
  <c r="I34" i="1"/>
  <c r="J34" i="1"/>
  <c r="H29" i="1" l="1"/>
  <c r="I29" i="1"/>
  <c r="J29" i="1"/>
  <c r="H26" i="1"/>
  <c r="I26" i="1"/>
  <c r="J26" i="1"/>
  <c r="H25" i="1"/>
  <c r="I25" i="1"/>
  <c r="J25" i="1"/>
  <c r="G38" i="1" l="1"/>
  <c r="G36" i="1" l="1"/>
  <c r="F36" i="1"/>
  <c r="E36" i="1"/>
  <c r="F38" i="1" l="1"/>
  <c r="G28" i="1" l="1"/>
  <c r="G17" i="1"/>
  <c r="G27" i="1"/>
  <c r="G9" i="1"/>
  <c r="F28" i="1" l="1"/>
  <c r="F17" i="1"/>
  <c r="F27" i="1"/>
  <c r="F9" i="1"/>
  <c r="E28" i="1" l="1"/>
  <c r="E17" i="1"/>
  <c r="E27" i="1"/>
  <c r="E9" i="1"/>
  <c r="E38" i="1" l="1"/>
  <c r="E34" i="1" l="1"/>
  <c r="F34" i="1"/>
  <c r="G34" i="1"/>
  <c r="E29" i="1"/>
  <c r="F29" i="1"/>
  <c r="G29" i="1"/>
  <c r="E26" i="1"/>
  <c r="F26" i="1"/>
  <c r="G26" i="1"/>
  <c r="G25" i="1"/>
  <c r="E25" i="1"/>
  <c r="F25" i="1"/>
  <c r="D36" i="1" l="1"/>
  <c r="C36" i="1"/>
  <c r="D38" i="1" l="1"/>
  <c r="C38" i="1" l="1"/>
  <c r="N36" i="1" l="1"/>
  <c r="D28" i="1" l="1"/>
  <c r="D17" i="1" l="1"/>
  <c r="D27" i="1"/>
  <c r="D9" i="1"/>
  <c r="C28" i="1" l="1"/>
  <c r="C17" i="1"/>
  <c r="C27" i="1"/>
  <c r="C9" i="1"/>
  <c r="N35" i="1"/>
  <c r="B28" i="1" l="1"/>
  <c r="B17" i="1"/>
  <c r="C34" i="1"/>
  <c r="D34" i="1"/>
  <c r="C29" i="1"/>
  <c r="D29" i="1"/>
  <c r="B27" i="1"/>
  <c r="C26" i="1"/>
  <c r="D26" i="1"/>
  <c r="C25" i="1"/>
  <c r="D25" i="1"/>
  <c r="B9" i="1"/>
  <c r="B34" i="1" l="1"/>
  <c r="B29" i="1"/>
  <c r="B26" i="1"/>
  <c r="B25" i="1"/>
  <c r="N14" i="1" l="1"/>
  <c r="N22" i="1" l="1"/>
  <c r="N7" i="1" l="1"/>
  <c r="N6" i="1" l="1"/>
  <c r="J16" i="1"/>
  <c r="N9" i="1" l="1"/>
  <c r="L16" i="1"/>
  <c r="L8" i="1"/>
  <c r="K8" i="1"/>
  <c r="N25" i="1"/>
  <c r="N26" i="1"/>
  <c r="N29" i="1"/>
  <c r="N30" i="1"/>
  <c r="N31" i="1"/>
  <c r="N32" i="1"/>
  <c r="N33" i="1"/>
  <c r="N34" i="1"/>
  <c r="N37" i="1"/>
  <c r="N18" i="1"/>
  <c r="N19" i="1"/>
  <c r="N20" i="1"/>
  <c r="N21" i="1"/>
  <c r="N23" i="1"/>
  <c r="N17" i="1"/>
  <c r="K16" i="1"/>
  <c r="M16" i="1"/>
  <c r="N10" i="1"/>
  <c r="N11" i="1"/>
  <c r="N12" i="1"/>
  <c r="N13" i="1"/>
  <c r="N15" i="1"/>
  <c r="M39" i="1" l="1"/>
  <c r="L39" i="1"/>
  <c r="L40" i="1" s="1"/>
  <c r="M8" i="1"/>
  <c r="M40" i="1" l="1"/>
  <c r="K39" i="1"/>
  <c r="K40" i="1" l="1"/>
  <c r="H16" i="1" l="1"/>
  <c r="I16" i="1"/>
  <c r="H8" i="1"/>
  <c r="I8" i="1"/>
  <c r="J8" i="1"/>
  <c r="J39" i="1" l="1"/>
  <c r="I39" i="1"/>
  <c r="I40" i="1" s="1"/>
  <c r="N38" i="1" l="1"/>
  <c r="J40" i="1"/>
  <c r="H39" i="1"/>
  <c r="H40" i="1" l="1"/>
  <c r="G8" i="1"/>
  <c r="E16" i="1"/>
  <c r="F16" i="1"/>
  <c r="G16" i="1"/>
  <c r="E8" i="1"/>
  <c r="F8" i="1"/>
  <c r="D16" i="1"/>
  <c r="D8" i="1"/>
  <c r="C16" i="1"/>
  <c r="C8" i="1"/>
  <c r="B16" i="1"/>
  <c r="B8" i="1"/>
  <c r="N16" i="1" l="1"/>
  <c r="N8" i="1"/>
  <c r="G39" i="1"/>
  <c r="G40" i="1" s="1"/>
  <c r="B39" i="1"/>
  <c r="B43" i="1"/>
  <c r="C39" i="1"/>
  <c r="C40" i="1" s="1"/>
  <c r="N28" i="1"/>
  <c r="N27" i="1"/>
  <c r="E39" i="1"/>
  <c r="E40" i="1" s="1"/>
  <c r="D39" i="1"/>
  <c r="D40" i="1" s="1"/>
  <c r="F39" i="1"/>
  <c r="N43" i="1" l="1"/>
  <c r="B40" i="1"/>
  <c r="B41" i="1" s="1"/>
  <c r="N39" i="1"/>
  <c r="F40" i="1"/>
  <c r="C7" i="1"/>
  <c r="C43" i="1" s="1"/>
  <c r="D7" i="1" s="1"/>
  <c r="D43" i="1" s="1"/>
  <c r="N40" i="1" l="1"/>
  <c r="N41" i="1" s="1"/>
  <c r="E7" i="1"/>
  <c r="E43" i="1" s="1"/>
  <c r="F7" i="1" s="1"/>
  <c r="F43" i="1" s="1"/>
  <c r="N45" i="1"/>
  <c r="G7" i="1" l="1"/>
  <c r="G43" i="1" l="1"/>
  <c r="H7" i="1" s="1"/>
  <c r="H43" i="1" s="1"/>
  <c r="I7" i="1" s="1"/>
  <c r="C6" i="1"/>
  <c r="C41" i="1" s="1"/>
  <c r="J7" i="1" l="1"/>
  <c r="J43" i="1" s="1"/>
  <c r="D6" i="1"/>
  <c r="D41" i="1" s="1"/>
  <c r="K7" i="1" l="1"/>
  <c r="E6" i="1"/>
  <c r="E41" i="1" s="1"/>
  <c r="K43" i="1" l="1"/>
  <c r="L7" i="1" s="1"/>
  <c r="L43" i="1" s="1"/>
  <c r="M7" i="1" s="1"/>
  <c r="M43" i="1" s="1"/>
  <c r="F6" i="1"/>
  <c r="F41" i="1" s="1"/>
  <c r="G6" i="1" s="1"/>
  <c r="G41" i="1" l="1"/>
  <c r="H6" i="1" s="1"/>
  <c r="H41" i="1" s="1"/>
  <c r="I6" i="1" s="1"/>
  <c r="I41" i="1" s="1"/>
  <c r="J6" i="1" s="1"/>
  <c r="J41" i="1" s="1"/>
  <c r="K6" i="1" s="1"/>
  <c r="K41" i="1" s="1"/>
  <c r="L6" i="1" s="1"/>
  <c r="L41" i="1" s="1"/>
  <c r="M6" i="1" s="1"/>
  <c r="M41" i="1" s="1"/>
</calcChain>
</file>

<file path=xl/sharedStrings.xml><?xml version="1.0" encoding="utf-8"?>
<sst xmlns="http://schemas.openxmlformats.org/spreadsheetml/2006/main" count="56" uniqueCount="46">
  <si>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</si>
  <si>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</si>
  <si>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</si>
  <si>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</si>
  <si>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</si>
  <si>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</si>
  <si>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</si>
  <si>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</si>
  <si>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</si>
  <si>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</si>
  <si>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</si>
  <si>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</si>
  <si>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</si>
  <si>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</si>
  <si>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</si>
  <si>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</si>
  <si>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</si>
  <si>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</si>
  <si>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</si>
  <si>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</si>
  <si>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</si>
  <si>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</si>
  <si>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</si>
  <si>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</si>
  <si>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                 ОТЧЕТ по дому Матросова, 45</t>
  </si>
  <si>
    <t xml:space="preserve">Тех. обслуживание общедомовых приборов учета </t>
  </si>
  <si>
    <t>Отведение сточных вод ОИ</t>
  </si>
  <si>
    <t xml:space="preserve">Содержание жилья и текущий ремонт,  ОПУ </t>
  </si>
  <si>
    <t>Корректировка задолженности по оплате по решению Арбитражного суда за предыдущие периоды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</si>
  <si>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</si>
  <si>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</si>
  <si>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</si>
  <si>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</si>
  <si>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</si>
  <si>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</si>
  <si>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</si>
  <si>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</si>
  <si>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</si>
  <si>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</si>
  <si>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</si>
  <si>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</si>
  <si>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2024г.</t>
  </si>
  <si>
    <t>Вознаграждение совета МКД</t>
  </si>
  <si>
    <t>Налоги с вознаграждения совета МКД</t>
  </si>
  <si>
    <t>Корректировка задолженности по решению суда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</si>
  <si>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01.01.2024г. по 31.12.2024г.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</si>
</sst>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7" fillId="0" borderId="0" xfId="0" applyFont="1"/>
    <xf numFmtId="0" fontId="0" fillId="0" borderId="0" xfId="0" applyBorder="1"/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9" fillId="4" borderId="3" xfId="0" applyFont="1" applyFill="1" applyBorder="1" applyAlignment="1">
      <alignment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7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zoomScale="75" workbookViewId="0">
      <selection activeCell="A3" sqref="A1:H1048576"/>
    </sheetView>
  </sheetViews>
  <sheetFormatPr defaultRowHeight="13.2" x14ac:dyDescent="0.25"/>
  <cols>
    <col min="1" max="1" width="58.6640625" customWidth="1"/>
    <col min="2" max="2" width="15.33203125" customWidth="1"/>
    <col min="3" max="3" width="13.88671875" customWidth="1"/>
    <col min="4" max="4" width="14.6640625" customWidth="1"/>
    <col min="5" max="5" width="14.33203125" customWidth="1"/>
    <col min="6" max="6" width="14.6640625" customWidth="1"/>
    <col min="7" max="7" width="14.88671875" customWidth="1"/>
    <col min="8" max="8" width="14.5546875" customWidth="1"/>
    <col min="9" max="9" width="15" customWidth="1"/>
    <col min="10" max="13" width="15.44140625" customWidth="1"/>
    <col min="14" max="14" width="15.88671875" customWidth="1"/>
  </cols>
  <sheetData>
    <row r="1" spans="1:18" ht="20.25" customHeight="1" x14ac:dyDescent="0.4">
      <c r="A1" s="23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20.399999999999999" x14ac:dyDescent="0.35">
      <c r="A2" s="25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8" ht="7.5" customHeight="1" thickBot="1" x14ac:dyDescent="0.3">
      <c r="A3" s="1"/>
      <c r="R3" s="2"/>
    </row>
    <row r="4" spans="1:18" ht="3" hidden="1" customHeight="1" thickBot="1" x14ac:dyDescent="0.3">
      <c r="A4" s="1"/>
    </row>
    <row r="5" spans="1:18" ht="38.25" customHeight="1" thickBot="1" x14ac:dyDescent="0.3">
      <c r="A5" s="5" t="s">
        <v>0</v>
      </c>
      <c r="B5" s="6" t="s">
        <v>29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6" t="s">
        <v>38</v>
      </c>
      <c r="L5" s="6" t="s">
        <v>39</v>
      </c>
      <c r="M5" s="6" t="s">
        <v>40</v>
      </c>
      <c r="N5" s="6" t="s">
        <v>41</v>
      </c>
    </row>
    <row r="6" spans="1:18" ht="23.25" customHeight="1" thickBot="1" x14ac:dyDescent="0.3">
      <c r="A6" s="7" t="s">
        <v>15</v>
      </c>
      <c r="B6" s="8">
        <v>-566282.19999999995</v>
      </c>
      <c r="C6" s="8">
        <f>B41</f>
        <v>-536251.21882999991</v>
      </c>
      <c r="D6" s="8">
        <f t="shared" ref="D6" si="0">C41</f>
        <v>-507718.96552999993</v>
      </c>
      <c r="E6" s="8">
        <f t="shared" ref="E6" si="1">D41</f>
        <v>-501215.73824999994</v>
      </c>
      <c r="F6" s="8">
        <f t="shared" ref="F6" si="2">E41</f>
        <v>-485611.73584999994</v>
      </c>
      <c r="G6" s="8">
        <f>F41</f>
        <v>-466646.41990999994</v>
      </c>
      <c r="H6" s="8">
        <f t="shared" ref="H6:J6" si="3">G41</f>
        <v>-486992.62573999993</v>
      </c>
      <c r="I6" s="8">
        <f t="shared" si="3"/>
        <v>-693799.73894999991</v>
      </c>
      <c r="J6" s="8">
        <f t="shared" si="3"/>
        <v>-686310.59862999991</v>
      </c>
      <c r="K6" s="8">
        <f t="shared" ref="K6" si="4">J41</f>
        <v>-644137.30888999987</v>
      </c>
      <c r="L6" s="8">
        <f t="shared" ref="L6" si="5">K41</f>
        <v>-738568.78664999991</v>
      </c>
      <c r="M6" s="8">
        <f t="shared" ref="M6" si="6">L41</f>
        <v>-742502.8555399999</v>
      </c>
      <c r="N6" s="8">
        <f>B6</f>
        <v>-566282.19999999995</v>
      </c>
    </row>
    <row r="7" spans="1:18" ht="21" customHeight="1" thickBot="1" x14ac:dyDescent="0.3">
      <c r="A7" s="7" t="s">
        <v>13</v>
      </c>
      <c r="B7" s="8">
        <v>-660498.5</v>
      </c>
      <c r="C7" s="8">
        <f>B43</f>
        <v>-666046.54999999993</v>
      </c>
      <c r="D7" s="8">
        <f>C43</f>
        <v>-656472.57999999984</v>
      </c>
      <c r="E7" s="8">
        <f>D43</f>
        <v>-656892.7799999998</v>
      </c>
      <c r="F7" s="8">
        <f>E43</f>
        <v>-654459.16999999981</v>
      </c>
      <c r="G7" s="8">
        <f t="shared" ref="G7" si="7">F43</f>
        <v>-652599.32999999984</v>
      </c>
      <c r="H7" s="8">
        <f t="shared" ref="H7:M7" si="8">G43</f>
        <v>-669507.96999999986</v>
      </c>
      <c r="I7" s="8">
        <f t="shared" si="8"/>
        <v>-684428.94999999984</v>
      </c>
      <c r="J7" s="8">
        <f t="shared" si="8"/>
        <v>-672806.11999999976</v>
      </c>
      <c r="K7" s="8">
        <f t="shared" si="8"/>
        <v>-651570.55999999982</v>
      </c>
      <c r="L7" s="8">
        <f t="shared" si="8"/>
        <v>-648680.74999999977</v>
      </c>
      <c r="M7" s="8">
        <f t="shared" si="8"/>
        <v>-670996.15999999968</v>
      </c>
      <c r="N7" s="8">
        <f>B7</f>
        <v>-660498.5</v>
      </c>
    </row>
    <row r="8" spans="1:18" ht="20.25" customHeight="1" thickBot="1" x14ac:dyDescent="0.3">
      <c r="A8" s="9" t="s">
        <v>12</v>
      </c>
      <c r="B8" s="10">
        <f t="shared" ref="B8:M8" si="9">SUM(B9:B15)</f>
        <v>82776.61</v>
      </c>
      <c r="C8" s="10">
        <f t="shared" si="9"/>
        <v>72999.199999999997</v>
      </c>
      <c r="D8" s="10">
        <f t="shared" si="9"/>
        <v>72962.239999999991</v>
      </c>
      <c r="E8" s="10">
        <f t="shared" si="9"/>
        <v>78988.099999999991</v>
      </c>
      <c r="F8" s="10">
        <f t="shared" si="9"/>
        <v>78572.62</v>
      </c>
      <c r="G8" s="10">
        <f t="shared" si="9"/>
        <v>78926.509999999995</v>
      </c>
      <c r="H8" s="10">
        <f t="shared" si="9"/>
        <v>81551.370000000024</v>
      </c>
      <c r="I8" s="10">
        <f t="shared" si="9"/>
        <v>111676.46</v>
      </c>
      <c r="J8" s="10">
        <f t="shared" si="9"/>
        <v>73080.820000000007</v>
      </c>
      <c r="K8" s="10">
        <f t="shared" si="9"/>
        <v>73080.820000000007</v>
      </c>
      <c r="L8" s="10">
        <f t="shared" si="9"/>
        <v>82433.23000000001</v>
      </c>
      <c r="M8" s="10">
        <f t="shared" si="9"/>
        <v>78642.259999999995</v>
      </c>
      <c r="N8" s="10">
        <f>SUM(B8:M8)</f>
        <v>965690.24</v>
      </c>
    </row>
    <row r="9" spans="1:18" ht="24.75" customHeight="1" thickBot="1" x14ac:dyDescent="0.3">
      <c r="A9" s="4" t="s">
        <v>27</v>
      </c>
      <c r="B9" s="11">
        <f t="shared" ref="B9:G9" si="10">63623.74+1481.01</f>
        <v>65104.75</v>
      </c>
      <c r="C9" s="11">
        <f t="shared" si="10"/>
        <v>65104.75</v>
      </c>
      <c r="D9" s="11">
        <f t="shared" si="10"/>
        <v>65104.75</v>
      </c>
      <c r="E9" s="11">
        <f t="shared" si="10"/>
        <v>65104.75</v>
      </c>
      <c r="F9" s="11">
        <f t="shared" si="10"/>
        <v>65104.75</v>
      </c>
      <c r="G9" s="11">
        <f t="shared" si="10"/>
        <v>65104.75</v>
      </c>
      <c r="H9" s="11">
        <f>63369.54-102.27+1481.01</f>
        <v>64748.280000000006</v>
      </c>
      <c r="I9" s="11">
        <f>63623.74+1481.01</f>
        <v>65104.75</v>
      </c>
      <c r="J9" s="11">
        <f>63623.74+1481.01</f>
        <v>65104.75</v>
      </c>
      <c r="K9" s="11">
        <f>63623.74+1481.01</f>
        <v>65104.75</v>
      </c>
      <c r="L9" s="11">
        <f>63623.74+1481.01</f>
        <v>65104.75</v>
      </c>
      <c r="M9" s="11">
        <f>63623.74+1481.01</f>
        <v>65104.75</v>
      </c>
      <c r="N9" s="11">
        <f>SUM(B9:M9)</f>
        <v>780900.53</v>
      </c>
    </row>
    <row r="10" spans="1:18" ht="24.75" customHeight="1" thickBot="1" x14ac:dyDescent="0.3">
      <c r="A10" s="4" t="s">
        <v>16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-20.6</v>
      </c>
      <c r="M10" s="11">
        <v>0</v>
      </c>
      <c r="N10" s="11">
        <f t="shared" ref="N10:N15" si="11">SUM(B10:M10)</f>
        <v>-20.6</v>
      </c>
    </row>
    <row r="11" spans="1:18" ht="24.75" customHeight="1" thickBot="1" x14ac:dyDescent="0.3">
      <c r="A11" s="4" t="s">
        <v>17</v>
      </c>
      <c r="B11" s="11">
        <v>474.91</v>
      </c>
      <c r="C11" s="11">
        <v>474.91</v>
      </c>
      <c r="D11" s="11">
        <v>474.93</v>
      </c>
      <c r="E11" s="11">
        <v>474.93</v>
      </c>
      <c r="F11" s="11">
        <v>474.93</v>
      </c>
      <c r="G11" s="11">
        <v>474.93</v>
      </c>
      <c r="H11" s="11">
        <v>524.76</v>
      </c>
      <c r="I11" s="11">
        <v>524.76</v>
      </c>
      <c r="J11" s="11">
        <v>524.76</v>
      </c>
      <c r="K11" s="11">
        <v>524.76</v>
      </c>
      <c r="L11" s="11">
        <v>524.76</v>
      </c>
      <c r="M11" s="11">
        <v>524.76</v>
      </c>
      <c r="N11" s="11">
        <f t="shared" si="11"/>
        <v>5998.1000000000013</v>
      </c>
    </row>
    <row r="12" spans="1:18" ht="24.75" customHeight="1" thickBot="1" x14ac:dyDescent="0.3">
      <c r="A12" s="4" t="s">
        <v>18</v>
      </c>
      <c r="B12" s="11">
        <v>9777.41</v>
      </c>
      <c r="C12" s="11">
        <v>0</v>
      </c>
      <c r="D12" s="11">
        <v>0</v>
      </c>
      <c r="E12" s="11">
        <v>6025.86</v>
      </c>
      <c r="F12" s="11">
        <v>6424.16</v>
      </c>
      <c r="G12" s="11">
        <v>6038.25</v>
      </c>
      <c r="H12" s="11">
        <v>8827.02</v>
      </c>
      <c r="I12" s="11">
        <v>38595.64</v>
      </c>
      <c r="J12" s="11">
        <v>0</v>
      </c>
      <c r="K12" s="11">
        <v>0</v>
      </c>
      <c r="L12" s="11">
        <v>9902.59</v>
      </c>
      <c r="M12" s="11">
        <v>10428.08</v>
      </c>
      <c r="N12" s="11">
        <f t="shared" si="11"/>
        <v>96019.01</v>
      </c>
    </row>
    <row r="13" spans="1:18" ht="24.75" customHeight="1" thickBot="1" x14ac:dyDescent="0.3">
      <c r="A13" s="4" t="s">
        <v>26</v>
      </c>
      <c r="B13" s="11">
        <v>916.09</v>
      </c>
      <c r="C13" s="11">
        <v>916.09</v>
      </c>
      <c r="D13" s="11">
        <v>916.09</v>
      </c>
      <c r="E13" s="11">
        <v>916.09</v>
      </c>
      <c r="F13" s="11">
        <v>916.09</v>
      </c>
      <c r="G13" s="11">
        <v>916.09</v>
      </c>
      <c r="H13" s="11">
        <v>1058.82</v>
      </c>
      <c r="I13" s="11">
        <v>1058.82</v>
      </c>
      <c r="J13" s="11">
        <v>1058.82</v>
      </c>
      <c r="K13" s="11">
        <v>1058.82</v>
      </c>
      <c r="L13" s="11">
        <v>529.24</v>
      </c>
      <c r="M13" s="11">
        <v>-3807.82</v>
      </c>
      <c r="N13" s="11">
        <f t="shared" si="11"/>
        <v>6453.24</v>
      </c>
    </row>
    <row r="14" spans="1:18" ht="24.75" customHeight="1" thickBot="1" x14ac:dyDescent="0.3">
      <c r="A14" s="4" t="s">
        <v>42</v>
      </c>
      <c r="B14" s="11">
        <v>5733.45</v>
      </c>
      <c r="C14" s="11">
        <v>5733.45</v>
      </c>
      <c r="D14" s="11">
        <v>5696.47</v>
      </c>
      <c r="E14" s="11">
        <v>5696.47</v>
      </c>
      <c r="F14" s="11">
        <v>4882.6899999999996</v>
      </c>
      <c r="G14" s="11">
        <v>5622.49</v>
      </c>
      <c r="H14" s="11">
        <v>5622.49</v>
      </c>
      <c r="I14" s="11">
        <v>5622.49</v>
      </c>
      <c r="J14" s="11">
        <v>5622.49</v>
      </c>
      <c r="K14" s="11">
        <v>5622.49</v>
      </c>
      <c r="L14" s="11">
        <v>5622.49</v>
      </c>
      <c r="M14" s="11">
        <v>5622.49</v>
      </c>
      <c r="N14" s="11">
        <f t="shared" si="11"/>
        <v>67099.959999999992</v>
      </c>
    </row>
    <row r="15" spans="1:18" ht="24.75" customHeight="1" thickBot="1" x14ac:dyDescent="0.3">
      <c r="A15" s="4" t="s">
        <v>14</v>
      </c>
      <c r="B15" s="11">
        <v>770</v>
      </c>
      <c r="C15" s="11">
        <v>770</v>
      </c>
      <c r="D15" s="11">
        <v>770</v>
      </c>
      <c r="E15" s="11">
        <v>770</v>
      </c>
      <c r="F15" s="11">
        <v>770</v>
      </c>
      <c r="G15" s="11">
        <v>770</v>
      </c>
      <c r="H15" s="11">
        <v>770</v>
      </c>
      <c r="I15" s="11">
        <v>770</v>
      </c>
      <c r="J15" s="11">
        <v>770</v>
      </c>
      <c r="K15" s="11">
        <v>770</v>
      </c>
      <c r="L15" s="11">
        <v>770</v>
      </c>
      <c r="M15" s="11">
        <v>770</v>
      </c>
      <c r="N15" s="11">
        <f t="shared" si="11"/>
        <v>9240</v>
      </c>
    </row>
    <row r="16" spans="1:18" ht="20.25" customHeight="1" thickBot="1" x14ac:dyDescent="0.3">
      <c r="A16" s="12" t="s">
        <v>8</v>
      </c>
      <c r="B16" s="13">
        <f>SUM(B17:B23)</f>
        <v>77228.560000000012</v>
      </c>
      <c r="C16" s="13">
        <f>SUM(C17:C23)</f>
        <v>82573.17</v>
      </c>
      <c r="D16" s="13">
        <f>SUM(D17:D23)</f>
        <v>72542.040000000008</v>
      </c>
      <c r="E16" s="13">
        <f t="shared" ref="E16:M16" si="12">SUM(E17:E23)</f>
        <v>81421.709999999992</v>
      </c>
      <c r="F16" s="13">
        <f t="shared" si="12"/>
        <v>80432.460000000006</v>
      </c>
      <c r="G16" s="13">
        <f t="shared" si="12"/>
        <v>62017.87000000001</v>
      </c>
      <c r="H16" s="13">
        <f t="shared" si="12"/>
        <v>66630.39</v>
      </c>
      <c r="I16" s="13">
        <f t="shared" si="12"/>
        <v>65268.369999999995</v>
      </c>
      <c r="J16" s="13">
        <f t="shared" si="12"/>
        <v>94316.38</v>
      </c>
      <c r="K16" s="13">
        <f t="shared" si="12"/>
        <v>75970.62999999999</v>
      </c>
      <c r="L16" s="13">
        <f t="shared" si="12"/>
        <v>60117.820000000007</v>
      </c>
      <c r="M16" s="13">
        <f t="shared" si="12"/>
        <v>68133.150000000009</v>
      </c>
      <c r="N16" s="13">
        <f>SUM(B16:M16)</f>
        <v>886652.55000000016</v>
      </c>
    </row>
    <row r="17" spans="1:15" ht="24" customHeight="1" thickBot="1" x14ac:dyDescent="0.3">
      <c r="A17" s="4" t="s">
        <v>27</v>
      </c>
      <c r="B17" s="19">
        <f>65370.42+102.8+1458.52+24.8</f>
        <v>66956.540000000008</v>
      </c>
      <c r="C17" s="11">
        <f>65385.32+337.76+1978.75+84.43</f>
        <v>67786.259999999995</v>
      </c>
      <c r="D17" s="11">
        <f>63556.15+1191.29</f>
        <v>64747.44</v>
      </c>
      <c r="E17" s="11">
        <f>72046.29+1223.03</f>
        <v>73269.319999999992</v>
      </c>
      <c r="F17" s="11">
        <f>65867.35+2101.72</f>
        <v>67969.070000000007</v>
      </c>
      <c r="G17" s="11">
        <f>49986.11+1211.55</f>
        <v>51197.66</v>
      </c>
      <c r="H17" s="11">
        <f>53711.14+1153.18</f>
        <v>54864.32</v>
      </c>
      <c r="I17" s="11">
        <f>50498.77+1167.88</f>
        <v>51666.649999999994</v>
      </c>
      <c r="J17" s="11">
        <f>57273.78+1365.33</f>
        <v>58639.11</v>
      </c>
      <c r="K17" s="11">
        <f>62799.6+1675.05</f>
        <v>64474.65</v>
      </c>
      <c r="L17" s="11">
        <f>51549.83+20.96+1156.12+1.47</f>
        <v>52728.380000000005</v>
      </c>
      <c r="M17" s="11">
        <f>52316.73+1135.82</f>
        <v>53452.55</v>
      </c>
      <c r="N17" s="11">
        <f>SUM(B17:M17)</f>
        <v>727751.95000000007</v>
      </c>
    </row>
    <row r="18" spans="1:15" ht="26.25" customHeight="1" thickBot="1" x14ac:dyDescent="0.3">
      <c r="A18" s="4" t="s">
        <v>16</v>
      </c>
      <c r="B18" s="11">
        <v>211.64</v>
      </c>
      <c r="C18" s="11">
        <v>137.88</v>
      </c>
      <c r="D18" s="11">
        <v>185.74</v>
      </c>
      <c r="E18" s="11">
        <v>303.14</v>
      </c>
      <c r="F18" s="11">
        <v>129.72</v>
      </c>
      <c r="G18" s="11">
        <v>8.61</v>
      </c>
      <c r="H18" s="11">
        <v>7.33</v>
      </c>
      <c r="I18" s="11">
        <v>25.83</v>
      </c>
      <c r="J18" s="11">
        <v>15.23</v>
      </c>
      <c r="K18" s="11">
        <v>70.239999999999995</v>
      </c>
      <c r="L18" s="11">
        <v>33.630000000000003</v>
      </c>
      <c r="M18" s="11">
        <v>39.950000000000003</v>
      </c>
      <c r="N18" s="11">
        <f t="shared" ref="N18:N23" si="13">SUM(B18:M18)</f>
        <v>1168.9400000000003</v>
      </c>
    </row>
    <row r="19" spans="1:15" ht="26.25" customHeight="1" thickBot="1" x14ac:dyDescent="0.3">
      <c r="A19" s="4" t="s">
        <v>17</v>
      </c>
      <c r="B19" s="11">
        <v>483.02</v>
      </c>
      <c r="C19" s="11">
        <v>483.14</v>
      </c>
      <c r="D19" s="11">
        <v>457.48</v>
      </c>
      <c r="E19" s="11">
        <v>525.86</v>
      </c>
      <c r="F19" s="11">
        <v>500.34</v>
      </c>
      <c r="G19" s="11">
        <v>372.94</v>
      </c>
      <c r="H19" s="11">
        <v>400.38</v>
      </c>
      <c r="I19" s="11">
        <v>414.99</v>
      </c>
      <c r="J19" s="11">
        <v>466.69</v>
      </c>
      <c r="K19" s="11">
        <v>521.89</v>
      </c>
      <c r="L19" s="11">
        <v>426.33</v>
      </c>
      <c r="M19" s="11">
        <v>430.83</v>
      </c>
      <c r="N19" s="11">
        <f t="shared" si="13"/>
        <v>5483.89</v>
      </c>
    </row>
    <row r="20" spans="1:15" ht="26.25" customHeight="1" thickBot="1" x14ac:dyDescent="0.3">
      <c r="A20" s="4" t="s">
        <v>18</v>
      </c>
      <c r="B20" s="11">
        <v>1481.54</v>
      </c>
      <c r="C20" s="11">
        <v>8169.19</v>
      </c>
      <c r="D20" s="11">
        <v>1320.17</v>
      </c>
      <c r="E20" s="11">
        <v>1410.91</v>
      </c>
      <c r="F20" s="11">
        <v>5438.13</v>
      </c>
      <c r="G20" s="11">
        <v>4916.68</v>
      </c>
      <c r="H20" s="11">
        <v>5012.6499999999996</v>
      </c>
      <c r="I20" s="11">
        <v>6635.67</v>
      </c>
      <c r="J20" s="11">
        <v>29000.31</v>
      </c>
      <c r="K20" s="11">
        <v>3342.33</v>
      </c>
      <c r="L20" s="11">
        <v>921.31</v>
      </c>
      <c r="M20" s="11">
        <v>7274.11</v>
      </c>
      <c r="N20" s="11">
        <f t="shared" si="13"/>
        <v>74923</v>
      </c>
    </row>
    <row r="21" spans="1:15" ht="26.25" customHeight="1" thickBot="1" x14ac:dyDescent="0.3">
      <c r="A21" s="4" t="s">
        <v>26</v>
      </c>
      <c r="B21" s="11">
        <v>887.07</v>
      </c>
      <c r="C21" s="11">
        <v>907.65</v>
      </c>
      <c r="D21" s="11">
        <v>844.44</v>
      </c>
      <c r="E21" s="11">
        <v>958.89</v>
      </c>
      <c r="F21" s="11">
        <v>939.67</v>
      </c>
      <c r="G21" s="11">
        <v>717.72</v>
      </c>
      <c r="H21" s="11">
        <v>771.61</v>
      </c>
      <c r="I21" s="11">
        <v>828.01</v>
      </c>
      <c r="J21" s="11">
        <v>934.61</v>
      </c>
      <c r="K21" s="11">
        <v>1031.01</v>
      </c>
      <c r="L21" s="11">
        <v>851.37</v>
      </c>
      <c r="M21" s="11">
        <v>434.65</v>
      </c>
      <c r="N21" s="11">
        <f t="shared" si="13"/>
        <v>10106.699999999999</v>
      </c>
    </row>
    <row r="22" spans="1:15" ht="26.25" customHeight="1" thickBot="1" x14ac:dyDescent="0.3">
      <c r="A22" s="4" t="s">
        <v>42</v>
      </c>
      <c r="B22" s="11">
        <v>4408.75</v>
      </c>
      <c r="C22" s="11">
        <v>4689.05</v>
      </c>
      <c r="D22" s="11">
        <v>4586.7700000000004</v>
      </c>
      <c r="E22" s="11">
        <v>4553.59</v>
      </c>
      <c r="F22" s="11">
        <v>5055.53</v>
      </c>
      <c r="G22" s="11">
        <v>4404.26</v>
      </c>
      <c r="H22" s="11">
        <v>4574.1000000000004</v>
      </c>
      <c r="I22" s="11">
        <v>4247.22</v>
      </c>
      <c r="J22" s="11">
        <v>4860.43</v>
      </c>
      <c r="K22" s="11">
        <v>5230.51</v>
      </c>
      <c r="L22" s="11">
        <v>4756.8</v>
      </c>
      <c r="M22" s="11">
        <v>4301.0600000000004</v>
      </c>
      <c r="N22" s="11">
        <f t="shared" si="13"/>
        <v>55668.07</v>
      </c>
    </row>
    <row r="23" spans="1:15" ht="26.25" customHeight="1" thickBot="1" x14ac:dyDescent="0.3">
      <c r="A23" s="4" t="s">
        <v>14</v>
      </c>
      <c r="B23" s="14">
        <v>2800</v>
      </c>
      <c r="C23" s="14">
        <v>400</v>
      </c>
      <c r="D23" s="14">
        <v>400</v>
      </c>
      <c r="E23" s="14">
        <v>400</v>
      </c>
      <c r="F23" s="14">
        <v>400</v>
      </c>
      <c r="G23" s="14">
        <v>400</v>
      </c>
      <c r="H23" s="14">
        <v>1000</v>
      </c>
      <c r="I23" s="14">
        <v>1450</v>
      </c>
      <c r="J23" s="11">
        <v>400</v>
      </c>
      <c r="K23" s="11">
        <v>1300</v>
      </c>
      <c r="L23" s="11">
        <v>400</v>
      </c>
      <c r="M23" s="11">
        <v>2200</v>
      </c>
      <c r="N23" s="11">
        <f t="shared" si="13"/>
        <v>11550</v>
      </c>
      <c r="O23" s="3"/>
    </row>
    <row r="24" spans="1:15" ht="21.75" customHeight="1" thickBot="1" x14ac:dyDescent="0.3">
      <c r="A24" s="15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</row>
    <row r="25" spans="1:15" ht="19.5" customHeight="1" thickBot="1" x14ac:dyDescent="0.3">
      <c r="A25" s="4" t="s">
        <v>1</v>
      </c>
      <c r="B25" s="11">
        <f>2962*0.6</f>
        <v>1777.2</v>
      </c>
      <c r="C25" s="11">
        <f t="shared" ref="C25:M25" si="14">2962*0.6</f>
        <v>1777.2</v>
      </c>
      <c r="D25" s="11">
        <f t="shared" si="14"/>
        <v>1777.2</v>
      </c>
      <c r="E25" s="11">
        <f t="shared" si="14"/>
        <v>1777.2</v>
      </c>
      <c r="F25" s="11">
        <f t="shared" si="14"/>
        <v>1777.2</v>
      </c>
      <c r="G25" s="11">
        <f t="shared" si="14"/>
        <v>1777.2</v>
      </c>
      <c r="H25" s="11">
        <f t="shared" si="14"/>
        <v>1777.2</v>
      </c>
      <c r="I25" s="11">
        <f t="shared" si="14"/>
        <v>1777.2</v>
      </c>
      <c r="J25" s="11">
        <f t="shared" si="14"/>
        <v>1777.2</v>
      </c>
      <c r="K25" s="11">
        <f t="shared" si="14"/>
        <v>1777.2</v>
      </c>
      <c r="L25" s="11">
        <f t="shared" si="14"/>
        <v>1777.2</v>
      </c>
      <c r="M25" s="11">
        <f t="shared" si="14"/>
        <v>1777.2</v>
      </c>
      <c r="N25" s="11">
        <f t="shared" ref="N25:N38" si="15">SUM(B25:M25)</f>
        <v>21326.400000000005</v>
      </c>
    </row>
    <row r="26" spans="1:15" ht="22.5" customHeight="1" thickBot="1" x14ac:dyDescent="0.3">
      <c r="A26" s="4" t="s">
        <v>2</v>
      </c>
      <c r="B26" s="11">
        <f>2962*0.17</f>
        <v>503.54</v>
      </c>
      <c r="C26" s="11">
        <f t="shared" ref="C26:M26" si="16">2962*0.17</f>
        <v>503.54</v>
      </c>
      <c r="D26" s="11">
        <f t="shared" si="16"/>
        <v>503.54</v>
      </c>
      <c r="E26" s="11">
        <f t="shared" si="16"/>
        <v>503.54</v>
      </c>
      <c r="F26" s="11">
        <f t="shared" si="16"/>
        <v>503.54</v>
      </c>
      <c r="G26" s="11">
        <f t="shared" si="16"/>
        <v>503.54</v>
      </c>
      <c r="H26" s="11">
        <f t="shared" si="16"/>
        <v>503.54</v>
      </c>
      <c r="I26" s="11">
        <f t="shared" si="16"/>
        <v>503.54</v>
      </c>
      <c r="J26" s="11">
        <f t="shared" si="16"/>
        <v>503.54</v>
      </c>
      <c r="K26" s="11">
        <f t="shared" si="16"/>
        <v>503.54</v>
      </c>
      <c r="L26" s="11">
        <f t="shared" si="16"/>
        <v>503.54</v>
      </c>
      <c r="M26" s="11">
        <f t="shared" si="16"/>
        <v>503.54</v>
      </c>
      <c r="N26" s="11">
        <f t="shared" si="15"/>
        <v>6042.4800000000005</v>
      </c>
    </row>
    <row r="27" spans="1:15" ht="21" customHeight="1" thickBot="1" x14ac:dyDescent="0.3">
      <c r="A27" s="4" t="s">
        <v>3</v>
      </c>
      <c r="B27" s="11">
        <f>82006.61*2.3%</f>
        <v>1886.15203</v>
      </c>
      <c r="C27" s="11">
        <f>72229.2*2.3%</f>
        <v>1661.2715999999998</v>
      </c>
      <c r="D27" s="11">
        <f>72192.24*2.3%</f>
        <v>1660.4215200000001</v>
      </c>
      <c r="E27" s="11">
        <f>78218.1*2.3%</f>
        <v>1799.0163</v>
      </c>
      <c r="F27" s="11">
        <f>77802.62*2.3%</f>
        <v>1789.4602599999998</v>
      </c>
      <c r="G27" s="11">
        <f>78156.51*2.3%</f>
        <v>1797.5997299999999</v>
      </c>
      <c r="H27" s="11">
        <f>80781.37*2.3%</f>
        <v>1857.9715099999999</v>
      </c>
      <c r="I27" s="11">
        <f>110906.46*2.3%</f>
        <v>2550.8485800000003</v>
      </c>
      <c r="J27" s="11">
        <f>72310.82*2.3%</f>
        <v>1663.1488600000002</v>
      </c>
      <c r="K27" s="11">
        <f>72310.82*2.3%</f>
        <v>1663.1488600000002</v>
      </c>
      <c r="L27" s="11">
        <f>81663.23*2.3%</f>
        <v>1878.2542899999999</v>
      </c>
      <c r="M27" s="11">
        <f>77872.26*2.3%</f>
        <v>1791.0619799999999</v>
      </c>
      <c r="N27" s="11">
        <f t="shared" si="15"/>
        <v>21998.355520000001</v>
      </c>
    </row>
    <row r="28" spans="1:15" ht="23.25" customHeight="1" thickBot="1" x14ac:dyDescent="0.3">
      <c r="A28" s="4" t="s">
        <v>4</v>
      </c>
      <c r="B28" s="11">
        <f>74428.56*3%</f>
        <v>2232.8568</v>
      </c>
      <c r="C28" s="11">
        <f>82173.17*3%</f>
        <v>2465.1950999999999</v>
      </c>
      <c r="D28" s="11">
        <f>72142.04*3%</f>
        <v>2164.2611999999999</v>
      </c>
      <c r="E28" s="11">
        <f>81021.71*3%</f>
        <v>2430.6513</v>
      </c>
      <c r="F28" s="11">
        <f>80032.46*3%</f>
        <v>2400.9738000000002</v>
      </c>
      <c r="G28" s="11">
        <f>61617.87*3%</f>
        <v>1848.5361</v>
      </c>
      <c r="H28" s="11">
        <f>65630.39*3%</f>
        <v>1968.9116999999999</v>
      </c>
      <c r="I28" s="11">
        <f>63818.37*3%</f>
        <v>1914.5510999999999</v>
      </c>
      <c r="J28" s="11">
        <f>93916.38*3%</f>
        <v>2817.4913999999999</v>
      </c>
      <c r="K28" s="11">
        <f>74670.63*3%</f>
        <v>2240.1188999999999</v>
      </c>
      <c r="L28" s="11">
        <f>59717.82*3%</f>
        <v>1791.5346</v>
      </c>
      <c r="M28" s="11">
        <f>65933.15*3%</f>
        <v>1977.9944999999998</v>
      </c>
      <c r="N28" s="11">
        <f t="shared" si="15"/>
        <v>26253.076499999999</v>
      </c>
    </row>
    <row r="29" spans="1:15" ht="23.25" customHeight="1" thickBot="1" x14ac:dyDescent="0.3">
      <c r="A29" s="4" t="s">
        <v>9</v>
      </c>
      <c r="B29" s="11">
        <f>2962*9.7</f>
        <v>28731.399999999998</v>
      </c>
      <c r="C29" s="11">
        <f t="shared" ref="C29:M29" si="17">2962*9.7</f>
        <v>28731.399999999998</v>
      </c>
      <c r="D29" s="11">
        <f t="shared" si="17"/>
        <v>28731.399999999998</v>
      </c>
      <c r="E29" s="11">
        <f t="shared" si="17"/>
        <v>28731.399999999998</v>
      </c>
      <c r="F29" s="11">
        <f t="shared" si="17"/>
        <v>28731.399999999998</v>
      </c>
      <c r="G29" s="11">
        <f t="shared" si="17"/>
        <v>28731.399999999998</v>
      </c>
      <c r="H29" s="11">
        <f t="shared" si="17"/>
        <v>28731.399999999998</v>
      </c>
      <c r="I29" s="11">
        <f t="shared" si="17"/>
        <v>28731.399999999998</v>
      </c>
      <c r="J29" s="11">
        <f t="shared" si="17"/>
        <v>28731.399999999998</v>
      </c>
      <c r="K29" s="11">
        <f t="shared" si="17"/>
        <v>28731.399999999998</v>
      </c>
      <c r="L29" s="11">
        <f t="shared" si="17"/>
        <v>28731.399999999998</v>
      </c>
      <c r="M29" s="11">
        <f t="shared" si="17"/>
        <v>28731.399999999998</v>
      </c>
      <c r="N29" s="11">
        <f t="shared" si="15"/>
        <v>344776.80000000005</v>
      </c>
    </row>
    <row r="30" spans="1:15" ht="26.25" customHeight="1" thickBot="1" x14ac:dyDescent="0.3">
      <c r="A30" s="4" t="s">
        <v>19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5"/>
        <v>0</v>
      </c>
    </row>
    <row r="31" spans="1:15" ht="26.25" customHeight="1" thickBot="1" x14ac:dyDescent="0.3">
      <c r="A31" s="4" t="s">
        <v>20</v>
      </c>
      <c r="B31" s="11">
        <v>712.39</v>
      </c>
      <c r="C31" s="11">
        <v>712.39</v>
      </c>
      <c r="D31" s="11">
        <v>712.39</v>
      </c>
      <c r="E31" s="11">
        <v>712.39</v>
      </c>
      <c r="F31" s="11">
        <v>712.39</v>
      </c>
      <c r="G31" s="11">
        <v>712.39</v>
      </c>
      <c r="H31" s="11">
        <v>786.88</v>
      </c>
      <c r="I31" s="11">
        <v>786.88</v>
      </c>
      <c r="J31" s="11">
        <v>786.88</v>
      </c>
      <c r="K31" s="11">
        <v>786.88</v>
      </c>
      <c r="L31" s="11">
        <v>786.88</v>
      </c>
      <c r="M31" s="11">
        <v>786.88</v>
      </c>
      <c r="N31" s="11">
        <f t="shared" si="15"/>
        <v>8995.619999999999</v>
      </c>
    </row>
    <row r="32" spans="1:15" ht="26.25" customHeight="1" thickBot="1" x14ac:dyDescent="0.3">
      <c r="A32" s="4" t="s">
        <v>21</v>
      </c>
      <c r="B32" s="11">
        <v>0</v>
      </c>
      <c r="C32" s="11">
        <v>0</v>
      </c>
      <c r="D32" s="11">
        <v>6025.8</v>
      </c>
      <c r="E32" s="11">
        <v>6424.2</v>
      </c>
      <c r="F32" s="11">
        <v>6038.25</v>
      </c>
      <c r="G32" s="11">
        <v>8827.0499999999993</v>
      </c>
      <c r="H32" s="11">
        <v>38595.599999999999</v>
      </c>
      <c r="I32" s="11">
        <v>0</v>
      </c>
      <c r="J32" s="11">
        <v>0</v>
      </c>
      <c r="K32" s="11">
        <v>9902.58</v>
      </c>
      <c r="L32" s="11">
        <v>10428.06</v>
      </c>
      <c r="M32" s="11">
        <v>0</v>
      </c>
      <c r="N32" s="11">
        <f t="shared" si="15"/>
        <v>86241.54</v>
      </c>
    </row>
    <row r="33" spans="1:14" ht="26.25" customHeight="1" thickBot="1" x14ac:dyDescent="0.3">
      <c r="A33" s="4" t="s">
        <v>26</v>
      </c>
      <c r="B33" s="11">
        <v>916.4</v>
      </c>
      <c r="C33" s="11">
        <v>916.4</v>
      </c>
      <c r="D33" s="11">
        <v>916.4</v>
      </c>
      <c r="E33" s="11">
        <v>916.4</v>
      </c>
      <c r="F33" s="11">
        <v>916.4</v>
      </c>
      <c r="G33" s="11">
        <v>916.4</v>
      </c>
      <c r="H33" s="11">
        <v>529.27</v>
      </c>
      <c r="I33" s="11">
        <v>529.27</v>
      </c>
      <c r="J33" s="11">
        <v>529.27</v>
      </c>
      <c r="K33" s="11">
        <v>529.27</v>
      </c>
      <c r="L33" s="11">
        <v>529.27</v>
      </c>
      <c r="M33" s="11">
        <v>529.27</v>
      </c>
      <c r="N33" s="11">
        <f t="shared" si="15"/>
        <v>8674.0200000000023</v>
      </c>
    </row>
    <row r="34" spans="1:14" ht="22.5" customHeight="1" thickBot="1" x14ac:dyDescent="0.3">
      <c r="A34" s="4" t="s">
        <v>6</v>
      </c>
      <c r="B34" s="19">
        <f>2962*3.22</f>
        <v>9537.6400000000012</v>
      </c>
      <c r="C34" s="19">
        <f t="shared" ref="C34:M34" si="18">2962*3.22</f>
        <v>9537.6400000000012</v>
      </c>
      <c r="D34" s="19">
        <f t="shared" si="18"/>
        <v>9537.6400000000012</v>
      </c>
      <c r="E34" s="19">
        <f t="shared" si="18"/>
        <v>9537.6400000000012</v>
      </c>
      <c r="F34" s="19">
        <f t="shared" si="18"/>
        <v>9537.6400000000012</v>
      </c>
      <c r="G34" s="19">
        <f t="shared" si="18"/>
        <v>9537.6400000000012</v>
      </c>
      <c r="H34" s="19">
        <f t="shared" si="18"/>
        <v>9537.6400000000012</v>
      </c>
      <c r="I34" s="19">
        <f t="shared" si="18"/>
        <v>9537.6400000000012</v>
      </c>
      <c r="J34" s="19">
        <f t="shared" si="18"/>
        <v>9537.6400000000012</v>
      </c>
      <c r="K34" s="19">
        <f t="shared" si="18"/>
        <v>9537.6400000000012</v>
      </c>
      <c r="L34" s="19">
        <f t="shared" si="18"/>
        <v>9537.6400000000012</v>
      </c>
      <c r="M34" s="19">
        <f t="shared" si="18"/>
        <v>9537.6400000000012</v>
      </c>
      <c r="N34" s="11">
        <f t="shared" si="15"/>
        <v>114451.68000000001</v>
      </c>
    </row>
    <row r="35" spans="1:14" ht="22.5" customHeight="1" thickBot="1" x14ac:dyDescent="0.3">
      <c r="A35" s="4" t="s">
        <v>42</v>
      </c>
      <c r="B35" s="11">
        <v>0</v>
      </c>
      <c r="C35" s="11">
        <v>2660.38</v>
      </c>
      <c r="D35" s="11">
        <v>2672.34</v>
      </c>
      <c r="E35" s="11">
        <v>2614.7399999999998</v>
      </c>
      <c r="F35" s="11">
        <v>2595.5100000000002</v>
      </c>
      <c r="G35" s="11">
        <v>2881.86</v>
      </c>
      <c r="H35" s="11">
        <v>2510.98</v>
      </c>
      <c r="I35" s="11">
        <v>2606.87</v>
      </c>
      <c r="J35" s="11">
        <v>2421.0500000000002</v>
      </c>
      <c r="K35" s="11">
        <v>2770.3</v>
      </c>
      <c r="L35" s="11">
        <v>2981.36</v>
      </c>
      <c r="M35" s="11">
        <v>2711.76</v>
      </c>
      <c r="N35" s="11">
        <f t="shared" si="15"/>
        <v>29427.15</v>
      </c>
    </row>
    <row r="36" spans="1:14" ht="22.5" customHeight="1" thickBot="1" x14ac:dyDescent="0.3">
      <c r="A36" s="4" t="s">
        <v>43</v>
      </c>
      <c r="B36" s="11">
        <v>0</v>
      </c>
      <c r="C36" s="11">
        <f>1400.3+607</f>
        <v>2007.3</v>
      </c>
      <c r="D36" s="11">
        <f>1406.72+610</f>
        <v>2016.72</v>
      </c>
      <c r="E36" s="11">
        <f>596+1376.03</f>
        <v>1972.03</v>
      </c>
      <c r="F36" s="11">
        <f>592+1366.08</f>
        <v>1958.08</v>
      </c>
      <c r="G36" s="11">
        <f>657+1516.66</f>
        <v>2173.66</v>
      </c>
      <c r="H36" s="11">
        <f>573+1321.28</f>
        <v>1894.28</v>
      </c>
      <c r="I36" s="11">
        <f>595+1372.23</f>
        <v>1967.23</v>
      </c>
      <c r="J36" s="11">
        <f>552+1274.17</f>
        <v>1826.17</v>
      </c>
      <c r="K36" s="11">
        <f>632+1458.13</f>
        <v>2090.13</v>
      </c>
      <c r="L36" s="11">
        <f>680+1569.15</f>
        <v>2249.15</v>
      </c>
      <c r="M36" s="11">
        <f>618+1427.04</f>
        <v>2045.04</v>
      </c>
      <c r="N36" s="11">
        <f t="shared" si="15"/>
        <v>22199.790000000005</v>
      </c>
    </row>
    <row r="37" spans="1:14" ht="22.5" customHeight="1" thickBot="1" x14ac:dyDescent="0.3">
      <c r="A37" s="4" t="s">
        <v>25</v>
      </c>
      <c r="B37" s="11">
        <v>900</v>
      </c>
      <c r="C37" s="11">
        <v>900</v>
      </c>
      <c r="D37" s="11">
        <v>900</v>
      </c>
      <c r="E37" s="11">
        <v>900</v>
      </c>
      <c r="F37" s="11">
        <v>900</v>
      </c>
      <c r="G37" s="11">
        <v>900</v>
      </c>
      <c r="H37" s="11">
        <v>900</v>
      </c>
      <c r="I37" s="11">
        <v>900</v>
      </c>
      <c r="J37" s="11">
        <v>900</v>
      </c>
      <c r="K37" s="11">
        <v>900</v>
      </c>
      <c r="L37" s="11">
        <v>900</v>
      </c>
      <c r="M37" s="11">
        <v>900</v>
      </c>
      <c r="N37" s="11">
        <f t="shared" si="15"/>
        <v>10800</v>
      </c>
    </row>
    <row r="38" spans="1:14" ht="24" customHeight="1" thickBot="1" x14ac:dyDescent="0.3">
      <c r="A38" s="4" t="s">
        <v>10</v>
      </c>
      <c r="B38" s="11">
        <v>0</v>
      </c>
      <c r="C38" s="11">
        <f>1993.2+175</f>
        <v>2168.1999999999998</v>
      </c>
      <c r="D38" s="11">
        <f>8105.7+315</f>
        <v>8420.7000000000007</v>
      </c>
      <c r="E38" s="11">
        <f>7498.5</f>
        <v>7498.5</v>
      </c>
      <c r="F38" s="11">
        <f>3606.3</f>
        <v>3606.3</v>
      </c>
      <c r="G38" s="11">
        <f>21756.8</f>
        <v>21756.799999999999</v>
      </c>
      <c r="H38" s="11">
        <f>8519.1+1931.7+48734.7+124658.33</f>
        <v>183843.83000000002</v>
      </c>
      <c r="I38" s="11">
        <f>2658+600.9+2504.9+210</f>
        <v>5973.8</v>
      </c>
      <c r="J38" s="11">
        <f>649.3</f>
        <v>649.29999999999995</v>
      </c>
      <c r="K38" s="11">
        <f>21721.6+4033.6+25579.4+105+105+105+18460.5+16797.8+22062</f>
        <v>108969.90000000001</v>
      </c>
      <c r="L38" s="11">
        <f>1537.6+420</f>
        <v>1957.6</v>
      </c>
      <c r="M38" s="11">
        <f>500+500</f>
        <v>1000</v>
      </c>
      <c r="N38" s="11">
        <f t="shared" si="15"/>
        <v>345844.93</v>
      </c>
    </row>
    <row r="39" spans="1:14" ht="22.5" customHeight="1" thickBot="1" x14ac:dyDescent="0.3">
      <c r="A39" s="9" t="s">
        <v>22</v>
      </c>
      <c r="B39" s="10">
        <f t="shared" ref="B39:M39" si="19">SUM(B25:B38)</f>
        <v>47197.578829999999</v>
      </c>
      <c r="C39" s="10">
        <f t="shared" si="19"/>
        <v>54040.916699999994</v>
      </c>
      <c r="D39" s="10">
        <f t="shared" si="19"/>
        <v>66038.812720000002</v>
      </c>
      <c r="E39" s="10">
        <f t="shared" si="19"/>
        <v>65817.707599999994</v>
      </c>
      <c r="F39" s="10">
        <f t="shared" si="19"/>
        <v>61467.144060000006</v>
      </c>
      <c r="G39" s="10">
        <f t="shared" si="19"/>
        <v>82364.075830000002</v>
      </c>
      <c r="H39" s="10">
        <f t="shared" si="19"/>
        <v>273437.50321</v>
      </c>
      <c r="I39" s="10">
        <f t="shared" si="19"/>
        <v>57779.229680000004</v>
      </c>
      <c r="J39" s="10">
        <f t="shared" si="19"/>
        <v>52143.090259999997</v>
      </c>
      <c r="K39" s="10">
        <f t="shared" si="19"/>
        <v>170402.10776000001</v>
      </c>
      <c r="L39" s="10">
        <f t="shared" si="19"/>
        <v>64051.888889999987</v>
      </c>
      <c r="M39" s="10">
        <f t="shared" si="19"/>
        <v>52291.786479999995</v>
      </c>
      <c r="N39" s="10">
        <f>SUM(B39:M39)</f>
        <v>1047031.8420199999</v>
      </c>
    </row>
    <row r="40" spans="1:14" ht="23.25" customHeight="1" thickBot="1" x14ac:dyDescent="0.3">
      <c r="A40" s="4" t="s">
        <v>5</v>
      </c>
      <c r="B40" s="18">
        <f t="shared" ref="B40:N40" si="20">B16-B39</f>
        <v>30030.981170000014</v>
      </c>
      <c r="C40" s="18">
        <f t="shared" si="20"/>
        <v>28532.253300000004</v>
      </c>
      <c r="D40" s="18">
        <f t="shared" si="20"/>
        <v>6503.2272800000064</v>
      </c>
      <c r="E40" s="18">
        <f t="shared" si="20"/>
        <v>15604.002399999998</v>
      </c>
      <c r="F40" s="18">
        <f t="shared" si="20"/>
        <v>18965.31594</v>
      </c>
      <c r="G40" s="18">
        <f t="shared" si="20"/>
        <v>-20346.205829999992</v>
      </c>
      <c r="H40" s="18">
        <f t="shared" si="20"/>
        <v>-206807.11320999998</v>
      </c>
      <c r="I40" s="18">
        <f t="shared" si="20"/>
        <v>7489.1403199999913</v>
      </c>
      <c r="J40" s="18">
        <f t="shared" si="20"/>
        <v>42173.289740000007</v>
      </c>
      <c r="K40" s="18">
        <f t="shared" si="20"/>
        <v>-94431.477760000023</v>
      </c>
      <c r="L40" s="18">
        <f t="shared" si="20"/>
        <v>-3934.0688899999805</v>
      </c>
      <c r="M40" s="18">
        <f t="shared" si="20"/>
        <v>15841.363520000014</v>
      </c>
      <c r="N40" s="11">
        <f t="shared" si="20"/>
        <v>-160379.2920199997</v>
      </c>
    </row>
    <row r="41" spans="1:14" ht="23.25" customHeight="1" thickBot="1" x14ac:dyDescent="0.3">
      <c r="A41" s="4" t="s">
        <v>7</v>
      </c>
      <c r="B41" s="14">
        <f t="shared" ref="B41:N41" si="21">B6+B40</f>
        <v>-536251.21882999991</v>
      </c>
      <c r="C41" s="14">
        <f t="shared" si="21"/>
        <v>-507718.96552999993</v>
      </c>
      <c r="D41" s="14">
        <f t="shared" si="21"/>
        <v>-501215.73824999994</v>
      </c>
      <c r="E41" s="14">
        <f t="shared" si="21"/>
        <v>-485611.73584999994</v>
      </c>
      <c r="F41" s="14">
        <f t="shared" si="21"/>
        <v>-466646.41990999994</v>
      </c>
      <c r="G41" s="14">
        <f t="shared" si="21"/>
        <v>-486992.62573999993</v>
      </c>
      <c r="H41" s="14">
        <f t="shared" si="21"/>
        <v>-693799.73894999991</v>
      </c>
      <c r="I41" s="14">
        <f t="shared" si="21"/>
        <v>-686310.59862999991</v>
      </c>
      <c r="J41" s="14">
        <f t="shared" si="21"/>
        <v>-644137.30888999987</v>
      </c>
      <c r="K41" s="14">
        <f t="shared" si="21"/>
        <v>-738568.78664999991</v>
      </c>
      <c r="L41" s="14">
        <f t="shared" si="21"/>
        <v>-742502.8555399999</v>
      </c>
      <c r="M41" s="14">
        <f t="shared" si="21"/>
        <v>-726661.49201999989</v>
      </c>
      <c r="N41" s="14">
        <f t="shared" si="21"/>
        <v>-726661.49201999966</v>
      </c>
    </row>
    <row r="42" spans="1:14" ht="23.25" customHeight="1" thickBot="1" x14ac:dyDescent="0.3">
      <c r="A42" s="4" t="s">
        <v>44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58030.92</v>
      </c>
      <c r="J42" s="22">
        <v>0</v>
      </c>
      <c r="K42" s="22">
        <v>0</v>
      </c>
      <c r="L42" s="22">
        <v>0</v>
      </c>
      <c r="M42" s="22">
        <v>0</v>
      </c>
      <c r="N42" s="14">
        <f>SUM(B42:M42)</f>
        <v>58030.92</v>
      </c>
    </row>
    <row r="43" spans="1:14" ht="27" customHeight="1" thickBot="1" x14ac:dyDescent="0.3">
      <c r="A43" s="5" t="s">
        <v>11</v>
      </c>
      <c r="B43" s="17">
        <f t="shared" ref="B43:H43" si="22">B7+B16-B8</f>
        <v>-666046.54999999993</v>
      </c>
      <c r="C43" s="17">
        <f t="shared" si="22"/>
        <v>-656472.57999999984</v>
      </c>
      <c r="D43" s="17">
        <f t="shared" si="22"/>
        <v>-656892.7799999998</v>
      </c>
      <c r="E43" s="17">
        <f t="shared" si="22"/>
        <v>-654459.16999999981</v>
      </c>
      <c r="F43" s="17">
        <f t="shared" si="22"/>
        <v>-652599.32999999984</v>
      </c>
      <c r="G43" s="17">
        <f t="shared" si="22"/>
        <v>-669507.96999999986</v>
      </c>
      <c r="H43" s="17">
        <f t="shared" si="22"/>
        <v>-684428.94999999984</v>
      </c>
      <c r="I43" s="17">
        <f>I7+I16-I8+I42</f>
        <v>-672806.11999999976</v>
      </c>
      <c r="J43" s="17">
        <f t="shared" ref="J43:M43" si="23">J7+J16-J8+J42</f>
        <v>-651570.55999999982</v>
      </c>
      <c r="K43" s="17">
        <f t="shared" si="23"/>
        <v>-648680.74999999977</v>
      </c>
      <c r="L43" s="17">
        <f t="shared" si="23"/>
        <v>-670996.15999999968</v>
      </c>
      <c r="M43" s="17">
        <f t="shared" si="23"/>
        <v>-681505.26999999967</v>
      </c>
      <c r="N43" s="21">
        <f>N7+N16-N8+N42</f>
        <v>-681505.26999999979</v>
      </c>
    </row>
    <row r="44" spans="1:14" ht="19.5" hidden="1" customHeight="1" thickBot="1" x14ac:dyDescent="0.35">
      <c r="A44" s="27" t="s">
        <v>28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9"/>
      <c r="N44" s="21"/>
    </row>
    <row r="45" spans="1:14" ht="18" hidden="1" customHeight="1" thickBot="1" x14ac:dyDescent="0.35">
      <c r="A45" s="30" t="s">
        <v>11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2"/>
      <c r="N45" s="20">
        <f>N43+N44</f>
        <v>-681505.26999999979</v>
      </c>
    </row>
  </sheetData>
  <mergeCells count="4">
    <mergeCell ref="A1:N1"/>
    <mergeCell ref="A2:P2"/>
    <mergeCell ref="A44:M44"/>
    <mergeCell ref="A45:M45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2025-03-04T08:54:36Z</cp:lastPrinted>
  <dcterms:created xsi:type="dcterms:W3CDTF">2011-06-06T03:25:48Z</dcterms:created>
  <dcterms:modified xsi:type="dcterms:W3CDTF">2025-03-04T09:06:48Z</dcterms:modified>
</cp:coreProperties>
</file>