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56" windowWidth="16152" windowHeight="10932" tabRatio="641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M20" i="1" l="1"/>
  <c r="M23" i="1"/>
  <c r="M22" i="1"/>
  <c r="M21" i="1"/>
  <c r="M10" i="1"/>
  <c r="M13" i="1"/>
  <c r="M12" i="1"/>
  <c r="M11" i="1"/>
  <c r="L10" i="1"/>
  <c r="L13" i="1"/>
  <c r="L12" i="1"/>
  <c r="L11" i="1"/>
  <c r="K20" i="1"/>
  <c r="K23" i="1"/>
  <c r="K21" i="1"/>
  <c r="K10" i="1"/>
  <c r="K13" i="1"/>
  <c r="K12" i="1"/>
  <c r="K11" i="1"/>
  <c r="M43" i="1" l="1"/>
  <c r="M38" i="1" l="1"/>
  <c r="L38" i="1"/>
  <c r="K38" i="1" l="1"/>
  <c r="L43" i="1" l="1"/>
  <c r="K43" i="1" l="1"/>
  <c r="J43" i="1" l="1"/>
  <c r="M41" i="1" l="1"/>
  <c r="L41" i="1"/>
  <c r="K41" i="1"/>
  <c r="L36" i="1" l="1"/>
  <c r="M36" i="1"/>
  <c r="K36" i="1"/>
  <c r="M33" i="1"/>
  <c r="L33" i="1"/>
  <c r="K33" i="1"/>
  <c r="M31" i="1" l="1"/>
  <c r="M25" i="1"/>
  <c r="M24" i="1"/>
  <c r="M18" i="1"/>
  <c r="M30" i="1"/>
  <c r="M8" i="1"/>
  <c r="N47" i="1" l="1"/>
  <c r="J48" i="1"/>
  <c r="L31" i="1"/>
  <c r="L25" i="1"/>
  <c r="L24" i="1"/>
  <c r="L18" i="1"/>
  <c r="L30" i="1"/>
  <c r="L8" i="1"/>
  <c r="K31" i="1" l="1"/>
  <c r="K25" i="1"/>
  <c r="K24" i="1"/>
  <c r="K18" i="1"/>
  <c r="K30" i="1"/>
  <c r="K8" i="1"/>
  <c r="K37" i="1" l="1"/>
  <c r="L37" i="1"/>
  <c r="M37" i="1"/>
  <c r="K32" i="1"/>
  <c r="L32" i="1"/>
  <c r="M32" i="1"/>
  <c r="K29" i="1"/>
  <c r="L29" i="1"/>
  <c r="M29" i="1"/>
  <c r="K28" i="1"/>
  <c r="L28" i="1"/>
  <c r="M28" i="1"/>
  <c r="G43" i="1"/>
  <c r="I12" i="1" l="1"/>
  <c r="I10" i="1" l="1"/>
  <c r="I13" i="1"/>
  <c r="I11" i="1"/>
  <c r="I30" i="1"/>
  <c r="I8" i="1"/>
  <c r="J20" i="1" l="1"/>
  <c r="J23" i="1"/>
  <c r="J22" i="1"/>
  <c r="J21" i="1" l="1"/>
  <c r="J10" i="1"/>
  <c r="J13" i="1"/>
  <c r="J11" i="1"/>
  <c r="I20" i="1"/>
  <c r="I23" i="1"/>
  <c r="I22" i="1"/>
  <c r="I21" i="1"/>
  <c r="H20" i="1"/>
  <c r="H23" i="1"/>
  <c r="H22" i="1"/>
  <c r="H21" i="1"/>
  <c r="H10" i="1"/>
  <c r="H13" i="1"/>
  <c r="H11" i="1"/>
  <c r="H19" i="1"/>
  <c r="I43" i="1" l="1"/>
  <c r="J33" i="1" l="1"/>
  <c r="I33" i="1"/>
  <c r="H33" i="1"/>
  <c r="J36" i="1" l="1"/>
  <c r="I36" i="1"/>
  <c r="H36" i="1"/>
  <c r="J38" i="1" l="1"/>
  <c r="J39" i="1"/>
  <c r="I38" i="1" l="1"/>
  <c r="H38" i="1"/>
  <c r="J41" i="1" l="1"/>
  <c r="I41" i="1"/>
  <c r="H41" i="1"/>
  <c r="J31" i="1" l="1"/>
  <c r="J25" i="1"/>
  <c r="J18" i="1"/>
  <c r="J30" i="1"/>
  <c r="J8" i="1"/>
  <c r="I31" i="1" l="1"/>
  <c r="I25" i="1"/>
  <c r="I18" i="1"/>
  <c r="H43" i="1" l="1"/>
  <c r="H31" i="1" l="1"/>
  <c r="H25" i="1"/>
  <c r="H24" i="1"/>
  <c r="H18" i="1"/>
  <c r="H30" i="1"/>
  <c r="H8" i="1"/>
  <c r="H37" i="1"/>
  <c r="I37" i="1"/>
  <c r="J37" i="1"/>
  <c r="H32" i="1" l="1"/>
  <c r="I32" i="1"/>
  <c r="J32" i="1"/>
  <c r="H29" i="1"/>
  <c r="I29" i="1"/>
  <c r="J29" i="1"/>
  <c r="H28" i="1"/>
  <c r="I28" i="1"/>
  <c r="J28" i="1"/>
  <c r="G22" i="1" l="1"/>
  <c r="F22" i="1"/>
  <c r="G12" i="1"/>
  <c r="F12" i="1"/>
  <c r="G20" i="1" l="1"/>
  <c r="G23" i="1"/>
  <c r="G21" i="1"/>
  <c r="G10" i="1"/>
  <c r="G13" i="1"/>
  <c r="G11" i="1"/>
  <c r="F10" i="1"/>
  <c r="F13" i="1"/>
  <c r="F11" i="1"/>
  <c r="E20" i="1"/>
  <c r="E22" i="1"/>
  <c r="E21" i="1"/>
  <c r="E23" i="1"/>
  <c r="E12" i="1"/>
  <c r="E11" i="1"/>
  <c r="E13" i="1"/>
  <c r="G33" i="1" l="1"/>
  <c r="F33" i="1"/>
  <c r="E33" i="1"/>
  <c r="G41" i="1" l="1"/>
  <c r="F41" i="1"/>
  <c r="E41" i="1"/>
  <c r="G38" i="1" l="1"/>
  <c r="F38" i="1"/>
  <c r="E38" i="1" l="1"/>
  <c r="F43" i="1" l="1"/>
  <c r="G31" i="1" l="1"/>
  <c r="G18" i="1"/>
  <c r="G30" i="1" l="1"/>
  <c r="G8" i="1"/>
  <c r="F31" i="1" l="1"/>
  <c r="F24" i="1"/>
  <c r="F18" i="1"/>
  <c r="F30" i="1"/>
  <c r="F8" i="1"/>
  <c r="N25" i="1"/>
  <c r="N15" i="1"/>
  <c r="E31" i="1" l="1"/>
  <c r="E18" i="1"/>
  <c r="E30" i="1"/>
  <c r="E8" i="1"/>
  <c r="E43" i="1" l="1"/>
  <c r="E37" i="1" l="1"/>
  <c r="F37" i="1"/>
  <c r="G37" i="1"/>
  <c r="E32" i="1"/>
  <c r="F32" i="1"/>
  <c r="G32" i="1"/>
  <c r="E29" i="1"/>
  <c r="F29" i="1"/>
  <c r="G29" i="1"/>
  <c r="E28" i="1"/>
  <c r="F28" i="1"/>
  <c r="G28" i="1"/>
  <c r="D12" i="1" l="1"/>
  <c r="D22" i="1"/>
  <c r="C12" i="1"/>
  <c r="D41" i="1" l="1"/>
  <c r="C41" i="1"/>
  <c r="D21" i="1" l="1"/>
  <c r="D23" i="1"/>
  <c r="D10" i="1"/>
  <c r="D11" i="1"/>
  <c r="D13" i="1"/>
  <c r="C22" i="1"/>
  <c r="C21" i="1"/>
  <c r="C23" i="1"/>
  <c r="C11" i="1"/>
  <c r="C13" i="1"/>
  <c r="B12" i="1"/>
  <c r="B11" i="1"/>
  <c r="B13" i="1"/>
  <c r="C43" i="1" l="1"/>
  <c r="D43" i="1" l="1"/>
  <c r="D38" i="1" l="1"/>
  <c r="C38" i="1" l="1"/>
  <c r="C33" i="1" l="1"/>
  <c r="N41" i="1" l="1"/>
  <c r="B43" i="1" l="1"/>
  <c r="D31" i="1" l="1"/>
  <c r="D24" i="1"/>
  <c r="D18" i="1"/>
  <c r="D30" i="1"/>
  <c r="D8" i="1"/>
  <c r="C31" i="1" l="1"/>
  <c r="C18" i="1"/>
  <c r="C30" i="1"/>
  <c r="C8" i="1"/>
  <c r="B31" i="1" l="1"/>
  <c r="B24" i="1"/>
  <c r="B18" i="1"/>
  <c r="B30" i="1"/>
  <c r="B8" i="1"/>
  <c r="C37" i="1"/>
  <c r="D37" i="1"/>
  <c r="C32" i="1"/>
  <c r="D32" i="1"/>
  <c r="C29" i="1"/>
  <c r="D29" i="1"/>
  <c r="C28" i="1"/>
  <c r="D28" i="1"/>
  <c r="B37" i="1" l="1"/>
  <c r="B32" i="1"/>
  <c r="B29" i="1"/>
  <c r="B28" i="1"/>
  <c r="B38" i="1" l="1"/>
  <c r="N39" i="1" l="1"/>
  <c r="N38" i="1"/>
  <c r="N9" i="1" l="1"/>
  <c r="N10" i="1"/>
  <c r="N11" i="1"/>
  <c r="N12" i="1"/>
  <c r="N13" i="1"/>
  <c r="N14" i="1"/>
  <c r="N16" i="1"/>
  <c r="N34" i="1" l="1"/>
  <c r="N35" i="1"/>
  <c r="N36" i="1"/>
  <c r="N40" i="1"/>
  <c r="N42" i="1"/>
  <c r="N19" i="1" l="1"/>
  <c r="N43" i="1" l="1"/>
  <c r="N33" i="1" l="1"/>
  <c r="N31" i="1" l="1"/>
  <c r="N30" i="1"/>
  <c r="B7" i="1"/>
  <c r="N28" i="1" l="1"/>
  <c r="N37" i="1" l="1"/>
  <c r="N29" i="1"/>
  <c r="N32" i="1"/>
  <c r="J7" i="1"/>
  <c r="I7" i="1"/>
  <c r="N6" i="1"/>
  <c r="N21" i="1"/>
  <c r="N22" i="1"/>
  <c r="N23" i="1"/>
  <c r="N24" i="1"/>
  <c r="N26" i="1"/>
  <c r="N20" i="1"/>
  <c r="H17" i="1"/>
  <c r="I17" i="1"/>
  <c r="J17" i="1"/>
  <c r="K17" i="1"/>
  <c r="L17" i="1"/>
  <c r="M17" i="1"/>
  <c r="H7" i="1"/>
  <c r="K7" i="1"/>
  <c r="L7" i="1"/>
  <c r="M7" i="1"/>
  <c r="I44" i="1" l="1"/>
  <c r="I45" i="1" s="1"/>
  <c r="M44" i="1"/>
  <c r="M45" i="1" s="1"/>
  <c r="L44" i="1"/>
  <c r="L45" i="1" s="1"/>
  <c r="K44" i="1"/>
  <c r="J44" i="1"/>
  <c r="K45" i="1" l="1"/>
  <c r="J45" i="1"/>
  <c r="H44" i="1"/>
  <c r="H45" i="1" s="1"/>
  <c r="G17" i="1" l="1"/>
  <c r="F17" i="1"/>
  <c r="E17" i="1"/>
  <c r="D17" i="1" l="1"/>
  <c r="D44" i="1" s="1"/>
  <c r="D45" i="1" s="1"/>
  <c r="C17" i="1"/>
  <c r="N18" i="1" l="1"/>
  <c r="B17" i="1"/>
  <c r="N17" i="1" s="1"/>
  <c r="N5" i="1"/>
  <c r="N8" i="1" l="1"/>
  <c r="F7" i="1" l="1"/>
  <c r="E44" i="1"/>
  <c r="F44" i="1"/>
  <c r="F45" i="1" s="1"/>
  <c r="G44" i="1"/>
  <c r="G45" i="1" s="1"/>
  <c r="E7" i="1"/>
  <c r="G7" i="1"/>
  <c r="D7" i="1"/>
  <c r="C44" i="1"/>
  <c r="C45" i="1" s="1"/>
  <c r="C7" i="1"/>
  <c r="N7" i="1" l="1"/>
  <c r="N48" i="1" s="1"/>
  <c r="E45" i="1"/>
  <c r="B44" i="1"/>
  <c r="N44" i="1" s="1"/>
  <c r="B48" i="1"/>
  <c r="C6" i="1" s="1"/>
  <c r="C48" i="1" s="1"/>
  <c r="D6" i="1" l="1"/>
  <c r="D48" i="1" s="1"/>
  <c r="B45" i="1"/>
  <c r="B46" i="1" s="1"/>
  <c r="C5" i="1" s="1"/>
  <c r="C46" i="1" s="1"/>
  <c r="N45" i="1"/>
  <c r="N46" i="1" s="1"/>
  <c r="E6" i="1" l="1"/>
  <c r="E48" i="1" l="1"/>
  <c r="F6" i="1" s="1"/>
  <c r="F48" i="1" s="1"/>
  <c r="G6" i="1" s="1"/>
  <c r="G48" i="1" s="1"/>
  <c r="D5" i="1"/>
  <c r="D46" i="1" s="1"/>
  <c r="H6" i="1" l="1"/>
  <c r="H48" i="1" s="1"/>
  <c r="E5" i="1"/>
  <c r="E46" i="1" s="1"/>
  <c r="I6" i="1" l="1"/>
  <c r="I48" i="1" s="1"/>
  <c r="F5" i="1"/>
  <c r="F46" i="1" s="1"/>
  <c r="G5" i="1" l="1"/>
  <c r="G46" i="1" s="1"/>
  <c r="J6" i="1"/>
  <c r="K6" i="1" l="1"/>
  <c r="K48" i="1" s="1"/>
  <c r="H5" i="1"/>
  <c r="H46" i="1" s="1"/>
  <c r="L6" i="1" l="1"/>
  <c r="L48" i="1" s="1"/>
  <c r="I5" i="1"/>
  <c r="I46" i="1" s="1"/>
  <c r="M6" i="1" l="1"/>
  <c r="M48" i="1" s="1"/>
  <c r="J5" i="1"/>
  <c r="J46" i="1" s="1"/>
  <c r="K5" i="1" l="1"/>
  <c r="K46" i="1" s="1"/>
  <c r="L5" i="1" l="1"/>
  <c r="L46" i="1" s="1"/>
  <c r="M5" i="1" l="1"/>
  <c r="M46" i="1" s="1"/>
</calcChain>
</file>

<file path=xl/sharedStrings.xml><?xml version="1.0" encoding="utf-8"?>
<sst xmlns="http://schemas.openxmlformats.org/spreadsheetml/2006/main" count="59" uniqueCount="49">
  <si>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</si>
  <si>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</si>
  <si>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</si>
  <si>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</si>
  <si>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</si>
  <si>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</si>
  <si>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</si>
  <si>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</si>
  <si>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</si>
  <si>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</si>
  <si>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</si>
  <si>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</si>
  <si>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</si>
  <si>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</si>
  <si>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</si>
  <si>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</si>
  <si>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</si>
  <si>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</si>
  <si>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</si>
  <si>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</si>
  <si>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</si>
  <si>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</si>
  <si>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</si>
  <si>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</si>
  <si>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</si>
  <si>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Комплексное обслуживание лифтов</t>
  </si>
  <si>
    <t>Период. техническое освидетельствование лифтов</t>
  </si>
  <si>
    <t>Отведение сточных вод ОИ</t>
  </si>
  <si>
    <t>Содержание жилья и текущий ремонт,  ОПУ</t>
  </si>
  <si>
    <t>Содержание жилья и текущий ремонт /нежилые</t>
  </si>
  <si>
    <t xml:space="preserve">Содержание жилья и текущий ремонт,  ОПУ </t>
  </si>
  <si>
    <t>Январь 2024г.</t>
  </si>
  <si>
    <t>Февраль 2024г.</t>
  </si>
  <si>
    <t>Март 2024г.</t>
  </si>
  <si>
    <t>Апрель 2024г.</t>
  </si>
  <si>
    <t>Май 2024г.</t>
  </si>
  <si>
    <t>Июнь 2024г.</t>
  </si>
  <si>
    <t>Июль 2024г</t>
  </si>
  <si>
    <t>Август 2024г</t>
  </si>
  <si>
    <t>Сентябрь 2024г</t>
  </si>
  <si>
    <t>Октябрь 2024г</t>
  </si>
  <si>
    <t>Ноябрь 2024г</t>
  </si>
  <si>
    <t>Декабрь 2024г</t>
  </si>
  <si>
    <t>Всего:                       за  2024г.</t>
  </si>
  <si>
    <t>Вознаграждение совета МКД</t>
  </si>
  <si>
    <t>Налоги с вознаграждения совета МКД</t>
  </si>
  <si>
    <t>Целевой сбор</t>
  </si>
  <si>
    <t>Корректировка задолженности по решению суда</t>
  </si>
  <si>
    <t xml:space="preserve">                 ОТЧЕТ по дому Мартьянова, 45 за период 01.01.2024г. по 31.12.2024г.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</si>
</sst>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0" fillId="0" borderId="0" xfId="0" applyFill="1"/>
    <xf numFmtId="0" fontId="7" fillId="0" borderId="2" xfId="0" applyFont="1" applyBorder="1" applyAlignment="1">
      <alignment horizontal="left"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vertical="top" wrapText="1"/>
    </xf>
    <xf numFmtId="0" fontId="7" fillId="4" borderId="3" xfId="0" applyFont="1" applyFill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3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8"/>
  <sheetViews>
    <sheetView tabSelected="1" topLeftCell="A40" zoomScale="75" workbookViewId="0">
      <pane xSplit="16800" topLeftCell="X1"/>
      <selection activeCell="A40" sqref="A1:J1048576"/>
      <selection pane="topRight" activeCell="X15" sqref="X15"/>
    </sheetView>
  </sheetViews>
  <sheetFormatPr defaultRowHeight="13.2" x14ac:dyDescent="0.25"/>
  <cols>
    <col min="1" max="1" width="56.44140625" customWidth="1"/>
    <col min="2" max="2" width="15.88671875" customWidth="1"/>
    <col min="3" max="3" width="15.6640625" customWidth="1"/>
    <col min="4" max="4" width="15.33203125" customWidth="1"/>
    <col min="5" max="5" width="15.109375" customWidth="1"/>
    <col min="6" max="6" width="15.44140625" customWidth="1"/>
    <col min="7" max="7" width="15.109375" customWidth="1"/>
    <col min="8" max="9" width="15.33203125" customWidth="1"/>
    <col min="10" max="10" width="15.5546875" customWidth="1"/>
    <col min="11" max="11" width="15.6640625" customWidth="1"/>
    <col min="12" max="12" width="15.5546875" customWidth="1"/>
    <col min="13" max="13" width="15.6640625" customWidth="1"/>
    <col min="14" max="14" width="17" customWidth="1"/>
  </cols>
  <sheetData>
    <row r="1" spans="1:18" ht="20.25" customHeight="1" x14ac:dyDescent="0.35">
      <c r="A1" s="24" t="s">
        <v>48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18" t="s">
        <v>0</v>
      </c>
      <c r="B4" s="7" t="s">
        <v>31</v>
      </c>
      <c r="C4" s="7" t="s">
        <v>32</v>
      </c>
      <c r="D4" s="7" t="s">
        <v>33</v>
      </c>
      <c r="E4" s="7" t="s">
        <v>34</v>
      </c>
      <c r="F4" s="7" t="s">
        <v>35</v>
      </c>
      <c r="G4" s="7" t="s">
        <v>36</v>
      </c>
      <c r="H4" s="7" t="s">
        <v>37</v>
      </c>
      <c r="I4" s="7" t="s">
        <v>38</v>
      </c>
      <c r="J4" s="7" t="s">
        <v>39</v>
      </c>
      <c r="K4" s="7" t="s">
        <v>40</v>
      </c>
      <c r="L4" s="7" t="s">
        <v>41</v>
      </c>
      <c r="M4" s="7" t="s">
        <v>42</v>
      </c>
      <c r="N4" s="7" t="s">
        <v>43</v>
      </c>
    </row>
    <row r="5" spans="1:18" ht="23.25" customHeight="1" thickBot="1" x14ac:dyDescent="0.3">
      <c r="A5" s="19" t="s">
        <v>15</v>
      </c>
      <c r="B5" s="8">
        <v>-1636139.55</v>
      </c>
      <c r="C5" s="8">
        <f t="shared" ref="C5:D5" si="0">B46</f>
        <v>-1746993.7543500001</v>
      </c>
      <c r="D5" s="8">
        <f t="shared" si="0"/>
        <v>-1704936.5367400001</v>
      </c>
      <c r="E5" s="8">
        <f>D46</f>
        <v>-1670489.2401300003</v>
      </c>
      <c r="F5" s="8">
        <f t="shared" ref="F5" si="1">E46</f>
        <v>-1629704.4764300003</v>
      </c>
      <c r="G5" s="8">
        <f>F46</f>
        <v>-1601208.8407300003</v>
      </c>
      <c r="H5" s="8">
        <f t="shared" ref="H5:J5" si="2">G46</f>
        <v>-1606823.2438600003</v>
      </c>
      <c r="I5" s="8">
        <f t="shared" si="2"/>
        <v>-1587181.5035500003</v>
      </c>
      <c r="J5" s="8">
        <f t="shared" si="2"/>
        <v>-1864139.4033800003</v>
      </c>
      <c r="K5" s="8">
        <f t="shared" ref="K5" si="3">J46</f>
        <v>-1956589.8026600003</v>
      </c>
      <c r="L5" s="8">
        <f t="shared" ref="L5" si="4">K46</f>
        <v>-1971329.1102200001</v>
      </c>
      <c r="M5" s="8">
        <f t="shared" ref="M5" si="5">L46</f>
        <v>-2034750.8007</v>
      </c>
      <c r="N5" s="8">
        <f>B5</f>
        <v>-1636139.55</v>
      </c>
    </row>
    <row r="6" spans="1:18" ht="21" customHeight="1" thickBot="1" x14ac:dyDescent="0.3">
      <c r="A6" s="19" t="s">
        <v>13</v>
      </c>
      <c r="B6" s="8">
        <v>-712441.75</v>
      </c>
      <c r="C6" s="8">
        <f>B48</f>
        <v>-724626.38</v>
      </c>
      <c r="D6" s="8">
        <f>C48</f>
        <v>-713883.24</v>
      </c>
      <c r="E6" s="8">
        <f>D48</f>
        <v>-717043.77</v>
      </c>
      <c r="F6" s="8">
        <f>E48</f>
        <v>-714743.17</v>
      </c>
      <c r="G6" s="8">
        <f t="shared" ref="G6" si="6">F48</f>
        <v>-821620.54</v>
      </c>
      <c r="H6" s="8">
        <f t="shared" ref="H6:M6" si="7">G48</f>
        <v>-727281.44000000006</v>
      </c>
      <c r="I6" s="8">
        <f t="shared" si="7"/>
        <v>-890420.57000000007</v>
      </c>
      <c r="J6" s="8">
        <f t="shared" si="7"/>
        <v>-745221.95</v>
      </c>
      <c r="K6" s="8">
        <f t="shared" si="7"/>
        <v>-711965.71</v>
      </c>
      <c r="L6" s="8">
        <f t="shared" si="7"/>
        <v>-737970.34</v>
      </c>
      <c r="M6" s="8">
        <f t="shared" si="7"/>
        <v>-743504.33999999985</v>
      </c>
      <c r="N6" s="8">
        <f>B6</f>
        <v>-712441.75</v>
      </c>
    </row>
    <row r="7" spans="1:18" ht="20.25" customHeight="1" thickBot="1" x14ac:dyDescent="0.3">
      <c r="A7" s="20" t="s">
        <v>12</v>
      </c>
      <c r="B7" s="9">
        <f>SUM(B8:B16)</f>
        <v>288496.64000000001</v>
      </c>
      <c r="C7" s="9">
        <f>SUM(C8:C16)</f>
        <v>286965.21000000002</v>
      </c>
      <c r="D7" s="9">
        <f>SUM(D8:D16)</f>
        <v>300002.51999999996</v>
      </c>
      <c r="E7" s="9">
        <f t="shared" ref="E7:M7" si="8">SUM(E8:E16)</f>
        <v>289496.67</v>
      </c>
      <c r="F7" s="9">
        <f t="shared" si="8"/>
        <v>406694.97000000003</v>
      </c>
      <c r="G7" s="9">
        <f t="shared" si="8"/>
        <v>294504.31</v>
      </c>
      <c r="H7" s="9">
        <f t="shared" si="8"/>
        <v>465693.29999999993</v>
      </c>
      <c r="I7" s="9">
        <f t="shared" si="8"/>
        <v>327168.39999999997</v>
      </c>
      <c r="J7" s="9">
        <f t="shared" si="8"/>
        <v>292956.86</v>
      </c>
      <c r="K7" s="9">
        <f t="shared" si="8"/>
        <v>315836.35000000003</v>
      </c>
      <c r="L7" s="9">
        <f t="shared" si="8"/>
        <v>323310.69999999995</v>
      </c>
      <c r="M7" s="9">
        <f t="shared" si="8"/>
        <v>343304.76</v>
      </c>
      <c r="N7" s="9">
        <f>SUM(B7:M7)</f>
        <v>3934430.6899999995</v>
      </c>
    </row>
    <row r="8" spans="1:18" ht="24.75" customHeight="1" thickBot="1" x14ac:dyDescent="0.3">
      <c r="A8" s="4" t="s">
        <v>28</v>
      </c>
      <c r="B8" s="10">
        <f>255507.65+1426.77</f>
        <v>256934.41999999998</v>
      </c>
      <c r="C8" s="10">
        <f t="shared" ref="C8:H8" si="9">255475.42+1426.59</f>
        <v>256902.01</v>
      </c>
      <c r="D8" s="10">
        <f t="shared" si="9"/>
        <v>256902.01</v>
      </c>
      <c r="E8" s="10">
        <f t="shared" si="9"/>
        <v>256902.01</v>
      </c>
      <c r="F8" s="10">
        <f t="shared" si="9"/>
        <v>256902.01</v>
      </c>
      <c r="G8" s="10">
        <f t="shared" si="9"/>
        <v>256902.01</v>
      </c>
      <c r="H8" s="10">
        <f t="shared" si="9"/>
        <v>256902.01</v>
      </c>
      <c r="I8" s="10">
        <f>255475.42+1426.59</f>
        <v>256902.01</v>
      </c>
      <c r="J8" s="10">
        <f>255475.42+1426.59</f>
        <v>256902.01</v>
      </c>
      <c r="K8" s="10">
        <f>255475.42+1426.59</f>
        <v>256902.01</v>
      </c>
      <c r="L8" s="10">
        <f>255475.42+1426.59</f>
        <v>256902.01</v>
      </c>
      <c r="M8" s="10">
        <f>255475.42+1426.59</f>
        <v>256902.01</v>
      </c>
      <c r="N8" s="10">
        <f>SUM(B8:M8)</f>
        <v>3082856.5299999993</v>
      </c>
    </row>
    <row r="9" spans="1:18" ht="21.6" customHeight="1" thickBot="1" x14ac:dyDescent="0.3">
      <c r="A9" s="4" t="s">
        <v>29</v>
      </c>
      <c r="B9" s="10">
        <v>773.54</v>
      </c>
      <c r="C9" s="10">
        <v>797.28</v>
      </c>
      <c r="D9" s="10">
        <v>797.28</v>
      </c>
      <c r="E9" s="10">
        <v>797.28</v>
      </c>
      <c r="F9" s="10">
        <v>797.28</v>
      </c>
      <c r="G9" s="10">
        <v>797.28</v>
      </c>
      <c r="H9" s="10">
        <v>797.28</v>
      </c>
      <c r="I9" s="10">
        <v>797.28</v>
      </c>
      <c r="J9" s="10">
        <v>797.28</v>
      </c>
      <c r="K9" s="10">
        <v>797.28</v>
      </c>
      <c r="L9" s="10">
        <v>797.28</v>
      </c>
      <c r="M9" s="10">
        <v>797.28</v>
      </c>
      <c r="N9" s="10">
        <f t="shared" ref="N9:N16" si="10">SUM(B9:M9)</f>
        <v>9543.619999999999</v>
      </c>
    </row>
    <row r="10" spans="1:18" ht="24.75" customHeight="1" thickBot="1" x14ac:dyDescent="0.3">
      <c r="A10" s="4" t="s">
        <v>16</v>
      </c>
      <c r="B10" s="10">
        <v>0</v>
      </c>
      <c r="C10" s="10">
        <v>0</v>
      </c>
      <c r="D10" s="10">
        <f>17858.04+55.65</f>
        <v>17913.690000000002</v>
      </c>
      <c r="E10" s="10">
        <v>0</v>
      </c>
      <c r="F10" s="10">
        <f>3862.37+11.87</f>
        <v>3874.24</v>
      </c>
      <c r="G10" s="10">
        <f>9518.36+29.68</f>
        <v>9548.0400000000009</v>
      </c>
      <c r="H10" s="10">
        <f>46317.13+29.68</f>
        <v>46346.81</v>
      </c>
      <c r="I10" s="10">
        <f>6556.48+20.41</f>
        <v>6576.8899999999994</v>
      </c>
      <c r="J10" s="10">
        <f>6556.48+20.41</f>
        <v>6576.8899999999994</v>
      </c>
      <c r="K10" s="10">
        <f>219.08+0.74</f>
        <v>219.82000000000002</v>
      </c>
      <c r="L10" s="10">
        <f>36356.98+113.53</f>
        <v>36470.51</v>
      </c>
      <c r="M10" s="10">
        <f>36292.52+113.16</f>
        <v>36405.68</v>
      </c>
      <c r="N10" s="10">
        <f t="shared" si="10"/>
        <v>163932.57</v>
      </c>
    </row>
    <row r="11" spans="1:18" ht="21.75" customHeight="1" thickBot="1" x14ac:dyDescent="0.3">
      <c r="A11" s="4" t="s">
        <v>17</v>
      </c>
      <c r="B11" s="10">
        <f>966.15+2.97</f>
        <v>969.12</v>
      </c>
      <c r="C11" s="10">
        <f>966.07+2.97</f>
        <v>969.04000000000008</v>
      </c>
      <c r="D11" s="10">
        <f>966.09+2.97</f>
        <v>969.06000000000006</v>
      </c>
      <c r="E11" s="10">
        <f>966.09+2.97</f>
        <v>969.06000000000006</v>
      </c>
      <c r="F11" s="10">
        <f>966.09+2.97</f>
        <v>969.06000000000006</v>
      </c>
      <c r="G11" s="10">
        <f>966.09+2.97</f>
        <v>969.06000000000006</v>
      </c>
      <c r="H11" s="10">
        <f>1067.39+2.97</f>
        <v>1070.3600000000001</v>
      </c>
      <c r="I11" s="10">
        <f>1067.39+2.97</f>
        <v>1070.3600000000001</v>
      </c>
      <c r="J11" s="10">
        <f>1067.39+2.97</f>
        <v>1070.3600000000001</v>
      </c>
      <c r="K11" s="10">
        <f>1067.39+2.97</f>
        <v>1070.3600000000001</v>
      </c>
      <c r="L11" s="10">
        <f>1067.39+2.97</f>
        <v>1070.3600000000001</v>
      </c>
      <c r="M11" s="10">
        <f>1067.39+2.97</f>
        <v>1070.3600000000001</v>
      </c>
      <c r="N11" s="10">
        <f t="shared" si="10"/>
        <v>12236.560000000003</v>
      </c>
    </row>
    <row r="12" spans="1:18" ht="22.5" customHeight="1" thickBot="1" x14ac:dyDescent="0.3">
      <c r="A12" s="4" t="s">
        <v>18</v>
      </c>
      <c r="B12" s="10">
        <f>12192.03+37.84</f>
        <v>12229.87</v>
      </c>
      <c r="C12" s="10">
        <f>9924.85+30.79+751.5</f>
        <v>10707.140000000001</v>
      </c>
      <c r="D12" s="10">
        <f>5067.89+15.95+746.9</f>
        <v>5830.74</v>
      </c>
      <c r="E12" s="10">
        <f>13197.4+41.18</f>
        <v>13238.58</v>
      </c>
      <c r="F12" s="10">
        <f>17826.83+55.65+680.16</f>
        <v>18562.640000000003</v>
      </c>
      <c r="G12" s="10">
        <f>8125.15+25.23+547.8</f>
        <v>8698.1799999999985</v>
      </c>
      <c r="H12" s="10">
        <v>0</v>
      </c>
      <c r="I12" s="10">
        <f>33652.55+104.99+454</f>
        <v>34211.54</v>
      </c>
      <c r="J12" s="10">
        <v>0</v>
      </c>
      <c r="K12" s="10">
        <f>29145.66+90.9</f>
        <v>29236.560000000001</v>
      </c>
      <c r="L12" s="10">
        <f>451.5+1.48</f>
        <v>452.98</v>
      </c>
      <c r="M12" s="10">
        <f>20448.06+63.81</f>
        <v>20511.870000000003</v>
      </c>
      <c r="N12" s="10">
        <f t="shared" si="10"/>
        <v>153680.1</v>
      </c>
    </row>
    <row r="13" spans="1:18" ht="22.5" customHeight="1" thickBot="1" x14ac:dyDescent="0.3">
      <c r="A13" s="4" t="s">
        <v>27</v>
      </c>
      <c r="B13" s="10">
        <f>1863.75+5.94</f>
        <v>1869.69</v>
      </c>
      <c r="C13" s="10">
        <f>1863.8+5.94</f>
        <v>1869.74</v>
      </c>
      <c r="D13" s="10">
        <f>1863.8+5.94</f>
        <v>1869.74</v>
      </c>
      <c r="E13" s="10">
        <f>1863.8+5.94</f>
        <v>1869.74</v>
      </c>
      <c r="F13" s="10">
        <f>1863.8+5.94</f>
        <v>1869.74</v>
      </c>
      <c r="G13" s="10">
        <f>1863.8+5.94</f>
        <v>1869.74</v>
      </c>
      <c r="H13" s="10">
        <f>2153.48+5.94</f>
        <v>2159.42</v>
      </c>
      <c r="I13" s="10">
        <f>2153.48+5.94</f>
        <v>2159.42</v>
      </c>
      <c r="J13" s="10">
        <f>2153.48+5.94</f>
        <v>2159.42</v>
      </c>
      <c r="K13" s="10">
        <f>2153.48+5.94</f>
        <v>2159.42</v>
      </c>
      <c r="L13" s="10">
        <f>2159.98+6.68</f>
        <v>2166.66</v>
      </c>
      <c r="M13" s="10">
        <f>2159.98+6.68</f>
        <v>2166.66</v>
      </c>
      <c r="N13" s="10">
        <f t="shared" si="10"/>
        <v>24189.39</v>
      </c>
    </row>
    <row r="14" spans="1:18" ht="22.5" customHeight="1" thickBot="1" x14ac:dyDescent="0.3">
      <c r="A14" s="4" t="s">
        <v>44</v>
      </c>
      <c r="B14" s="10">
        <v>12900</v>
      </c>
      <c r="C14" s="10">
        <v>12900</v>
      </c>
      <c r="D14" s="10">
        <v>12900</v>
      </c>
      <c r="E14" s="10">
        <v>12900</v>
      </c>
      <c r="F14" s="10">
        <v>12900</v>
      </c>
      <c r="G14" s="10">
        <v>12900</v>
      </c>
      <c r="H14" s="10">
        <v>22630.9</v>
      </c>
      <c r="I14" s="10">
        <v>22630.9</v>
      </c>
      <c r="J14" s="10">
        <v>22630.9</v>
      </c>
      <c r="K14" s="10">
        <v>22630.9</v>
      </c>
      <c r="L14" s="10">
        <v>22630.9</v>
      </c>
      <c r="M14" s="10">
        <v>22630.9</v>
      </c>
      <c r="N14" s="10">
        <f t="shared" si="10"/>
        <v>213185.39999999997</v>
      </c>
    </row>
    <row r="15" spans="1:18" ht="22.5" customHeight="1" thickBot="1" x14ac:dyDescent="0.3">
      <c r="A15" s="4" t="s">
        <v>46</v>
      </c>
      <c r="B15" s="10">
        <v>0</v>
      </c>
      <c r="C15" s="10">
        <v>0</v>
      </c>
      <c r="D15" s="10">
        <v>0</v>
      </c>
      <c r="E15" s="10">
        <v>0</v>
      </c>
      <c r="F15" s="10">
        <v>108000</v>
      </c>
      <c r="G15" s="10">
        <v>0</v>
      </c>
      <c r="H15" s="10">
        <v>132966.51999999999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f t="shared" si="10"/>
        <v>240966.52</v>
      </c>
    </row>
    <row r="16" spans="1:18" ht="24" customHeight="1" thickBot="1" x14ac:dyDescent="0.3">
      <c r="A16" s="4" t="s">
        <v>14</v>
      </c>
      <c r="B16" s="10">
        <v>2820</v>
      </c>
      <c r="C16" s="10">
        <v>2820</v>
      </c>
      <c r="D16" s="10">
        <v>2820</v>
      </c>
      <c r="E16" s="10">
        <v>2820</v>
      </c>
      <c r="F16" s="10">
        <v>2820</v>
      </c>
      <c r="G16" s="10">
        <v>2820</v>
      </c>
      <c r="H16" s="10">
        <v>2820</v>
      </c>
      <c r="I16" s="10">
        <v>2820</v>
      </c>
      <c r="J16" s="10">
        <v>2820</v>
      </c>
      <c r="K16" s="10">
        <v>2820</v>
      </c>
      <c r="L16" s="10">
        <v>2820</v>
      </c>
      <c r="M16" s="10">
        <v>2820</v>
      </c>
      <c r="N16" s="10">
        <f t="shared" si="10"/>
        <v>33840</v>
      </c>
    </row>
    <row r="17" spans="1:15" ht="20.25" customHeight="1" thickBot="1" x14ac:dyDescent="0.3">
      <c r="A17" s="21" t="s">
        <v>8</v>
      </c>
      <c r="B17" s="11">
        <f>SUM(B18:B26)</f>
        <v>276312.01</v>
      </c>
      <c r="C17" s="11">
        <f t="shared" ref="C17:M17" si="11">SUM(C18:C26)</f>
        <v>297708.35000000003</v>
      </c>
      <c r="D17" s="11">
        <f t="shared" si="11"/>
        <v>296841.99</v>
      </c>
      <c r="E17" s="11">
        <f t="shared" si="11"/>
        <v>291797.26999999996</v>
      </c>
      <c r="F17" s="11">
        <f t="shared" si="11"/>
        <v>299817.60000000003</v>
      </c>
      <c r="G17" s="11">
        <f t="shared" si="11"/>
        <v>388843.41</v>
      </c>
      <c r="H17" s="11">
        <f t="shared" si="11"/>
        <v>302554.17</v>
      </c>
      <c r="I17" s="11">
        <f t="shared" si="11"/>
        <v>459710.34</v>
      </c>
      <c r="J17" s="11">
        <f t="shared" si="11"/>
        <v>326213.10000000003</v>
      </c>
      <c r="K17" s="11">
        <f t="shared" si="11"/>
        <v>289831.72000000003</v>
      </c>
      <c r="L17" s="11">
        <f t="shared" si="11"/>
        <v>317776.7</v>
      </c>
      <c r="M17" s="11">
        <f t="shared" si="11"/>
        <v>338916.57</v>
      </c>
      <c r="N17" s="11">
        <f>SUM(B17:M17)</f>
        <v>3886323.2300000004</v>
      </c>
    </row>
    <row r="18" spans="1:15" ht="24" customHeight="1" thickBot="1" x14ac:dyDescent="0.3">
      <c r="A18" s="4" t="s">
        <v>30</v>
      </c>
      <c r="B18" s="10">
        <f>247510.86+1370.78</f>
        <v>248881.63999999998</v>
      </c>
      <c r="C18" s="10">
        <f>264590.13+1422.13</f>
        <v>266012.26</v>
      </c>
      <c r="D18" s="10">
        <f>266610.14+1402.68</f>
        <v>268012.82</v>
      </c>
      <c r="E18" s="10">
        <f>251576.06-171.66+1364.5</f>
        <v>252768.9</v>
      </c>
      <c r="F18" s="10">
        <f>254652.85+1391.19</f>
        <v>256044.04</v>
      </c>
      <c r="G18" s="10">
        <f>254064.18+1360.34</f>
        <v>255424.52</v>
      </c>
      <c r="H18" s="10">
        <f>257900.29+1418.25</f>
        <v>259318.54</v>
      </c>
      <c r="I18" s="10">
        <f>257011.93+1668.52</f>
        <v>258680.44999999998</v>
      </c>
      <c r="J18" s="10">
        <f>253379.83+1380</f>
        <v>254759.83</v>
      </c>
      <c r="K18" s="10">
        <f>251849.38-429.26+1379.29</f>
        <v>252799.41</v>
      </c>
      <c r="L18" s="10">
        <f>260080.45-944.13+1395.81</f>
        <v>260532.13</v>
      </c>
      <c r="M18" s="10">
        <f>263038.61+7.73+1624.59</f>
        <v>264670.93</v>
      </c>
      <c r="N18" s="10">
        <f>SUM(B18:M18)</f>
        <v>3097905.47</v>
      </c>
    </row>
    <row r="19" spans="1:15" ht="24" customHeight="1" thickBot="1" x14ac:dyDescent="0.3">
      <c r="A19" s="4" t="s">
        <v>29</v>
      </c>
      <c r="B19" s="10">
        <v>0</v>
      </c>
      <c r="C19" s="10">
        <v>797.28</v>
      </c>
      <c r="D19" s="10">
        <v>797.28</v>
      </c>
      <c r="E19" s="10">
        <v>797.28</v>
      </c>
      <c r="F19" s="10">
        <v>0</v>
      </c>
      <c r="G19" s="10">
        <v>1594.56</v>
      </c>
      <c r="H19" s="10">
        <f>797.28*2</f>
        <v>1594.56</v>
      </c>
      <c r="I19" s="10">
        <v>797.28</v>
      </c>
      <c r="J19" s="10">
        <v>797.28</v>
      </c>
      <c r="K19" s="10">
        <v>797.28</v>
      </c>
      <c r="L19" s="10">
        <v>0</v>
      </c>
      <c r="M19" s="10">
        <v>1594.56</v>
      </c>
      <c r="N19" s="10">
        <f>SUM(B19:M19)</f>
        <v>9567.3599999999988</v>
      </c>
    </row>
    <row r="20" spans="1:15" ht="26.25" customHeight="1" thickBot="1" x14ac:dyDescent="0.3">
      <c r="A20" s="4" t="s">
        <v>16</v>
      </c>
      <c r="B20" s="10">
        <v>51.92</v>
      </c>
      <c r="C20" s="10">
        <v>75.010000000000005</v>
      </c>
      <c r="D20" s="10">
        <v>88.86</v>
      </c>
      <c r="E20" s="10">
        <f>16628.64+55.65</f>
        <v>16684.29</v>
      </c>
      <c r="F20" s="10">
        <v>557.86</v>
      </c>
      <c r="G20" s="10">
        <f>3767.09+87.35</f>
        <v>3854.44</v>
      </c>
      <c r="H20" s="10">
        <f>9400.96+11.87+29.68</f>
        <v>9442.51</v>
      </c>
      <c r="I20" s="10">
        <f>43987.33+29.68</f>
        <v>44017.01</v>
      </c>
      <c r="J20" s="10">
        <f>7408.44+20.41</f>
        <v>7428.8499999999995</v>
      </c>
      <c r="K20" s="10">
        <f>6374.47+20.41</f>
        <v>6394.88</v>
      </c>
      <c r="L20" s="10">
        <v>900.8</v>
      </c>
      <c r="M20" s="10">
        <f>34797.35+113.53+0.74</f>
        <v>34911.619999999995</v>
      </c>
      <c r="N20" s="10">
        <f>SUM(B20:M20)</f>
        <v>124408.05</v>
      </c>
    </row>
    <row r="21" spans="1:15" ht="26.25" customHeight="1" thickBot="1" x14ac:dyDescent="0.3">
      <c r="A21" s="4" t="s">
        <v>17</v>
      </c>
      <c r="B21" s="10">
        <v>939.34</v>
      </c>
      <c r="C21" s="10">
        <f>1002.33+2.97</f>
        <v>1005.3000000000001</v>
      </c>
      <c r="D21" s="10">
        <f>1011.34+2.97</f>
        <v>1014.3100000000001</v>
      </c>
      <c r="E21" s="10">
        <f>951.38+2.97</f>
        <v>954.35</v>
      </c>
      <c r="F21" s="10">
        <v>965.45</v>
      </c>
      <c r="G21" s="10">
        <f>962.01+5.94</f>
        <v>967.95</v>
      </c>
      <c r="H21" s="10">
        <f>979.12+2.97*2</f>
        <v>985.06000000000006</v>
      </c>
      <c r="I21" s="10">
        <f>1070.22+2.97</f>
        <v>1073.19</v>
      </c>
      <c r="J21" s="10">
        <f>1056.09+2.97</f>
        <v>1059.06</v>
      </c>
      <c r="K21" s="10">
        <f>1045.91+2.97</f>
        <v>1048.8800000000001</v>
      </c>
      <c r="L21" s="10">
        <v>1079.8599999999999</v>
      </c>
      <c r="M21" s="10">
        <f>1093.27+2.97*3</f>
        <v>1102.18</v>
      </c>
      <c r="N21" s="10">
        <f t="shared" ref="N21:N26" si="12">SUM(B21:M21)</f>
        <v>12194.93</v>
      </c>
    </row>
    <row r="22" spans="1:15" ht="24" customHeight="1" thickBot="1" x14ac:dyDescent="0.3">
      <c r="A22" s="4" t="s">
        <v>18</v>
      </c>
      <c r="B22" s="10">
        <v>8507.8700000000008</v>
      </c>
      <c r="C22" s="10">
        <f>12439.02+42.84</f>
        <v>12481.86</v>
      </c>
      <c r="D22" s="10">
        <f>10553.94+30.79+751.5</f>
        <v>11336.230000000001</v>
      </c>
      <c r="E22" s="10">
        <f>5344.44+15.95</f>
        <v>5360.3899999999994</v>
      </c>
      <c r="F22" s="10">
        <f>12883.7+746.9</f>
        <v>13630.6</v>
      </c>
      <c r="G22" s="10">
        <f>17287.64+96.83+680.16</f>
        <v>18064.63</v>
      </c>
      <c r="H22" s="10">
        <f>8580.39+55.65+25.23</f>
        <v>8661.2699999999986</v>
      </c>
      <c r="I22" s="10">
        <f>1029.67+25.23</f>
        <v>1054.9000000000001</v>
      </c>
      <c r="J22" s="10">
        <f>31316.54+104.99</f>
        <v>31421.530000000002</v>
      </c>
      <c r="K22" s="10">
        <v>1425.29</v>
      </c>
      <c r="L22" s="10">
        <v>27907.05</v>
      </c>
      <c r="M22" s="10">
        <f>1872.65+1.48+90.9</f>
        <v>1965.0300000000002</v>
      </c>
      <c r="N22" s="10">
        <f t="shared" si="12"/>
        <v>141816.65</v>
      </c>
    </row>
    <row r="23" spans="1:15" ht="24" customHeight="1" thickBot="1" x14ac:dyDescent="0.3">
      <c r="A23" s="4" t="s">
        <v>27</v>
      </c>
      <c r="B23" s="10">
        <v>1807.63</v>
      </c>
      <c r="C23" s="10">
        <f>1923.7+5.94</f>
        <v>1929.64</v>
      </c>
      <c r="D23" s="10">
        <f>1940.16+5.94</f>
        <v>1946.1000000000001</v>
      </c>
      <c r="E23" s="10">
        <f>1831.38+5.94</f>
        <v>1837.3200000000002</v>
      </c>
      <c r="F23" s="10">
        <v>1859.38</v>
      </c>
      <c r="G23" s="10">
        <f>1848.74+11.88</f>
        <v>1860.6200000000001</v>
      </c>
      <c r="H23" s="10">
        <f>1881.3+5.94*2</f>
        <v>1893.18</v>
      </c>
      <c r="I23" s="10">
        <f>2152.39+5.94</f>
        <v>2158.33</v>
      </c>
      <c r="J23" s="10">
        <f>2123.7+5.94</f>
        <v>2129.64</v>
      </c>
      <c r="K23" s="10">
        <f>2100.65+5.94</f>
        <v>2106.59</v>
      </c>
      <c r="L23" s="10">
        <v>2168.09</v>
      </c>
      <c r="M23" s="10">
        <f>2196.9+6.68+5.94</f>
        <v>2209.52</v>
      </c>
      <c r="N23" s="10">
        <f t="shared" si="12"/>
        <v>23906.04</v>
      </c>
    </row>
    <row r="24" spans="1:15" ht="24" customHeight="1" thickBot="1" x14ac:dyDescent="0.3">
      <c r="A24" s="4" t="s">
        <v>44</v>
      </c>
      <c r="B24" s="10">
        <f>12550.41+73.2</f>
        <v>12623.61</v>
      </c>
      <c r="C24" s="10">
        <v>12957</v>
      </c>
      <c r="D24" s="10">
        <f>12505.56+40.83</f>
        <v>12546.39</v>
      </c>
      <c r="E24" s="10">
        <v>12294.74</v>
      </c>
      <c r="F24" s="10">
        <f>12562.78+47.49</f>
        <v>12610.27</v>
      </c>
      <c r="G24" s="10">
        <v>12354</v>
      </c>
      <c r="H24" s="10">
        <f>13643.31+128.05</f>
        <v>13771.359999999999</v>
      </c>
      <c r="I24" s="10">
        <v>23370.38</v>
      </c>
      <c r="J24" s="10">
        <v>21876.26</v>
      </c>
      <c r="K24" s="10">
        <f>22267.56+68.89</f>
        <v>22336.45</v>
      </c>
      <c r="L24" s="10">
        <f>22050.59+36.85</f>
        <v>22087.439999999999</v>
      </c>
      <c r="M24" s="10">
        <f>22793.01+17.21</f>
        <v>22810.219999999998</v>
      </c>
      <c r="N24" s="10">
        <f t="shared" si="12"/>
        <v>201638.12000000002</v>
      </c>
    </row>
    <row r="25" spans="1:15" ht="24" customHeight="1" thickBot="1" x14ac:dyDescent="0.3">
      <c r="A25" s="4" t="s">
        <v>46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93622.69</v>
      </c>
      <c r="H25" s="10">
        <f>4835.46+352.23</f>
        <v>5187.6900000000005</v>
      </c>
      <c r="I25" s="10">
        <f>3133.9+121924.9</f>
        <v>125058.79999999999</v>
      </c>
      <c r="J25" s="10">
        <f>1000+4640.65</f>
        <v>5640.65</v>
      </c>
      <c r="K25" s="10">
        <f>501.95+420.99</f>
        <v>922.94</v>
      </c>
      <c r="L25" s="10">
        <f>17.39+633.94</f>
        <v>651.33000000000004</v>
      </c>
      <c r="M25" s="10">
        <f>12.86+439.65</f>
        <v>452.51</v>
      </c>
      <c r="N25" s="10">
        <f t="shared" si="12"/>
        <v>231536.61</v>
      </c>
    </row>
    <row r="26" spans="1:15" ht="21" customHeight="1" thickBot="1" x14ac:dyDescent="0.3">
      <c r="A26" s="4" t="s">
        <v>14</v>
      </c>
      <c r="B26" s="12">
        <v>3500</v>
      </c>
      <c r="C26" s="12">
        <v>2450</v>
      </c>
      <c r="D26" s="12">
        <v>1100</v>
      </c>
      <c r="E26" s="12">
        <v>1100</v>
      </c>
      <c r="F26" s="12">
        <v>14150</v>
      </c>
      <c r="G26" s="12">
        <v>1100</v>
      </c>
      <c r="H26" s="10">
        <v>1700</v>
      </c>
      <c r="I26" s="10">
        <v>3500</v>
      </c>
      <c r="J26" s="10">
        <v>1100</v>
      </c>
      <c r="K26" s="10">
        <v>2000</v>
      </c>
      <c r="L26" s="10">
        <v>2450</v>
      </c>
      <c r="M26" s="10">
        <v>9200</v>
      </c>
      <c r="N26" s="10">
        <f t="shared" si="12"/>
        <v>43350</v>
      </c>
      <c r="O26" s="3"/>
    </row>
    <row r="27" spans="1:15" ht="24.75" customHeight="1" thickBot="1" x14ac:dyDescent="0.35">
      <c r="A27" s="23" t="s">
        <v>23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4"/>
    </row>
    <row r="28" spans="1:15" ht="19.5" customHeight="1" thickBot="1" x14ac:dyDescent="0.3">
      <c r="A28" s="4" t="s">
        <v>1</v>
      </c>
      <c r="B28" s="10">
        <f>11925.2*0.6</f>
        <v>7155.12</v>
      </c>
      <c r="C28" s="10">
        <f t="shared" ref="C28:M28" si="13">11925.2*0.6</f>
        <v>7155.12</v>
      </c>
      <c r="D28" s="10">
        <f t="shared" si="13"/>
        <v>7155.12</v>
      </c>
      <c r="E28" s="10">
        <f t="shared" si="13"/>
        <v>7155.12</v>
      </c>
      <c r="F28" s="10">
        <f t="shared" si="13"/>
        <v>7155.12</v>
      </c>
      <c r="G28" s="10">
        <f t="shared" si="13"/>
        <v>7155.12</v>
      </c>
      <c r="H28" s="10">
        <f t="shared" si="13"/>
        <v>7155.12</v>
      </c>
      <c r="I28" s="10">
        <f t="shared" si="13"/>
        <v>7155.12</v>
      </c>
      <c r="J28" s="10">
        <f t="shared" si="13"/>
        <v>7155.12</v>
      </c>
      <c r="K28" s="10">
        <f t="shared" si="13"/>
        <v>7155.12</v>
      </c>
      <c r="L28" s="10">
        <f t="shared" si="13"/>
        <v>7155.12</v>
      </c>
      <c r="M28" s="10">
        <f t="shared" si="13"/>
        <v>7155.12</v>
      </c>
      <c r="N28" s="10">
        <f>SUM(B28:M28)</f>
        <v>85861.440000000002</v>
      </c>
    </row>
    <row r="29" spans="1:15" ht="22.5" customHeight="1" thickBot="1" x14ac:dyDescent="0.3">
      <c r="A29" s="4" t="s">
        <v>2</v>
      </c>
      <c r="B29" s="10">
        <f>11925.2*0.17</f>
        <v>2027.2840000000003</v>
      </c>
      <c r="C29" s="10">
        <f t="shared" ref="C29:M29" si="14">11925.2*0.17</f>
        <v>2027.2840000000003</v>
      </c>
      <c r="D29" s="10">
        <f t="shared" si="14"/>
        <v>2027.2840000000003</v>
      </c>
      <c r="E29" s="10">
        <f t="shared" si="14"/>
        <v>2027.2840000000003</v>
      </c>
      <c r="F29" s="10">
        <f t="shared" si="14"/>
        <v>2027.2840000000003</v>
      </c>
      <c r="G29" s="10">
        <f t="shared" si="14"/>
        <v>2027.2840000000003</v>
      </c>
      <c r="H29" s="10">
        <f t="shared" si="14"/>
        <v>2027.2840000000003</v>
      </c>
      <c r="I29" s="10">
        <f t="shared" si="14"/>
        <v>2027.2840000000003</v>
      </c>
      <c r="J29" s="10">
        <f t="shared" si="14"/>
        <v>2027.2840000000003</v>
      </c>
      <c r="K29" s="10">
        <f t="shared" si="14"/>
        <v>2027.2840000000003</v>
      </c>
      <c r="L29" s="10">
        <f t="shared" si="14"/>
        <v>2027.2840000000003</v>
      </c>
      <c r="M29" s="10">
        <f t="shared" si="14"/>
        <v>2027.2840000000003</v>
      </c>
      <c r="N29" s="10">
        <f t="shared" ref="N29:N43" si="15">SUM(B29:M29)</f>
        <v>24327.407999999999</v>
      </c>
    </row>
    <row r="30" spans="1:15" ht="21" customHeight="1" thickBot="1" x14ac:dyDescent="0.3">
      <c r="A30" s="4" t="s">
        <v>3</v>
      </c>
      <c r="B30" s="10">
        <f>284856.35*2.3%</f>
        <v>6551.6960499999996</v>
      </c>
      <c r="C30" s="10">
        <f>282556.73*2.3%</f>
        <v>6498.8047899999992</v>
      </c>
      <c r="D30" s="10">
        <f>295557.83*2.3%</f>
        <v>6797.8300900000004</v>
      </c>
      <c r="E30" s="10">
        <f>285829.3*2.3%</f>
        <v>6574.0738999999994</v>
      </c>
      <c r="F30" s="10">
        <f>402321.1*2.3%</f>
        <v>9253.3852999999999</v>
      </c>
      <c r="G30" s="10">
        <f>290275.41*2.3%</f>
        <v>6676.334429999999</v>
      </c>
      <c r="H30" s="10">
        <f>462037.43*2.3%</f>
        <v>10626.86089</v>
      </c>
      <c r="I30" s="10">
        <f>322962.81*2.3%</f>
        <v>7428.1446299999998</v>
      </c>
      <c r="J30" s="10">
        <f>289310.26*2.3%</f>
        <v>6654.13598</v>
      </c>
      <c r="K30" s="10">
        <f>312118.52*2.3%</f>
        <v>7178.7259600000007</v>
      </c>
      <c r="L30" s="10">
        <f>319568.76*2.3%</f>
        <v>7350.0814799999998</v>
      </c>
      <c r="M30" s="10">
        <f>339500.86*2.3%</f>
        <v>7808.5197799999996</v>
      </c>
      <c r="N30" s="10">
        <f t="shared" si="15"/>
        <v>89398.593279999986</v>
      </c>
    </row>
    <row r="31" spans="1:15" ht="23.25" customHeight="1" thickBot="1" x14ac:dyDescent="0.3">
      <c r="A31" s="4" t="s">
        <v>4</v>
      </c>
      <c r="B31" s="10">
        <f>272812.01*3%</f>
        <v>8184.3603000000003</v>
      </c>
      <c r="C31" s="10">
        <f>294409.32*3%</f>
        <v>8832.2795999999998</v>
      </c>
      <c r="D31" s="10">
        <f>294153.51*3%</f>
        <v>8824.6052999999993</v>
      </c>
      <c r="E31" s="10">
        <f>289819.48*3%</f>
        <v>8694.5843999999997</v>
      </c>
      <c r="F31" s="10">
        <f>284920.7*3%</f>
        <v>8547.6209999999992</v>
      </c>
      <c r="G31" s="10">
        <f>385266.69*3%</f>
        <v>11558.000700000001</v>
      </c>
      <c r="H31" s="10">
        <f>299119.36*3%</f>
        <v>8973.5807999999997</v>
      </c>
      <c r="I31" s="10">
        <f>455349.24*3%</f>
        <v>13660.477199999999</v>
      </c>
      <c r="J31" s="10">
        <f>324181.51*3%</f>
        <v>9725.4452999999994</v>
      </c>
      <c r="K31" s="10">
        <f>287005.12*3%</f>
        <v>8610.1535999999996</v>
      </c>
      <c r="L31" s="10">
        <f>315326.7*3%</f>
        <v>9459.8009999999995</v>
      </c>
      <c r="M31" s="10">
        <f>327893.83*3%</f>
        <v>9836.8148999999994</v>
      </c>
      <c r="N31" s="10">
        <f t="shared" si="15"/>
        <v>114907.72409999999</v>
      </c>
    </row>
    <row r="32" spans="1:15" ht="23.25" customHeight="1" thickBot="1" x14ac:dyDescent="0.3">
      <c r="A32" s="4" t="s">
        <v>9</v>
      </c>
      <c r="B32" s="15">
        <f>11925.2*8.5</f>
        <v>101364.20000000001</v>
      </c>
      <c r="C32" s="15">
        <f t="shared" ref="C32:M32" si="16">11925.2*8.5</f>
        <v>101364.20000000001</v>
      </c>
      <c r="D32" s="15">
        <f t="shared" si="16"/>
        <v>101364.20000000001</v>
      </c>
      <c r="E32" s="15">
        <f t="shared" si="16"/>
        <v>101364.20000000001</v>
      </c>
      <c r="F32" s="15">
        <f t="shared" si="16"/>
        <v>101364.20000000001</v>
      </c>
      <c r="G32" s="15">
        <f t="shared" si="16"/>
        <v>101364.20000000001</v>
      </c>
      <c r="H32" s="15">
        <f t="shared" si="16"/>
        <v>101364.20000000001</v>
      </c>
      <c r="I32" s="15">
        <f t="shared" si="16"/>
        <v>101364.20000000001</v>
      </c>
      <c r="J32" s="15">
        <f t="shared" si="16"/>
        <v>101364.20000000001</v>
      </c>
      <c r="K32" s="15">
        <f t="shared" si="16"/>
        <v>101364.20000000001</v>
      </c>
      <c r="L32" s="15">
        <f t="shared" si="16"/>
        <v>101364.20000000001</v>
      </c>
      <c r="M32" s="15">
        <f t="shared" si="16"/>
        <v>101364.20000000001</v>
      </c>
      <c r="N32" s="10">
        <f t="shared" si="15"/>
        <v>1216370.3999999999</v>
      </c>
    </row>
    <row r="33" spans="1:14" s="6" customFormat="1" ht="22.95" customHeight="1" thickBot="1" x14ac:dyDescent="0.3">
      <c r="A33" s="5" t="s">
        <v>19</v>
      </c>
      <c r="B33" s="15">
        <v>0</v>
      </c>
      <c r="C33" s="15">
        <f>17857.86+0</f>
        <v>17857.86</v>
      </c>
      <c r="D33" s="15">
        <v>0</v>
      </c>
      <c r="E33" s="15">
        <f>3609.14+253.22</f>
        <v>3862.3599999999997</v>
      </c>
      <c r="F33" s="15">
        <f>9361.73+156.66</f>
        <v>9518.39</v>
      </c>
      <c r="G33" s="15">
        <f>41439.01+4878.17</f>
        <v>46317.18</v>
      </c>
      <c r="H33" s="15">
        <f>5912.89+643.57</f>
        <v>6556.46</v>
      </c>
      <c r="I33" s="15">
        <f>5912.89+643.57</f>
        <v>6556.46</v>
      </c>
      <c r="J33" s="15">
        <f>197.61+21.52</f>
        <v>219.13000000000002</v>
      </c>
      <c r="K33" s="15">
        <f>32787.93+3569.09</f>
        <v>36357.020000000004</v>
      </c>
      <c r="L33" s="15">
        <f>32729.72+3562.76</f>
        <v>36292.480000000003</v>
      </c>
      <c r="M33" s="15">
        <f>21061.21+2292.55</f>
        <v>23353.759999999998</v>
      </c>
      <c r="N33" s="10">
        <f t="shared" si="15"/>
        <v>186891.10000000003</v>
      </c>
    </row>
    <row r="34" spans="1:14" s="6" customFormat="1" ht="26.25" customHeight="1" thickBot="1" x14ac:dyDescent="0.3">
      <c r="A34" s="5" t="s">
        <v>20</v>
      </c>
      <c r="B34" s="15">
        <v>1453.54</v>
      </c>
      <c r="C34" s="15">
        <v>1453.54</v>
      </c>
      <c r="D34" s="15">
        <v>1453.54</v>
      </c>
      <c r="E34" s="15">
        <v>1453.54</v>
      </c>
      <c r="F34" s="15">
        <v>1453.54</v>
      </c>
      <c r="G34" s="15">
        <v>1453.54</v>
      </c>
      <c r="H34" s="15">
        <v>1605.71</v>
      </c>
      <c r="I34" s="15">
        <v>1605.71</v>
      </c>
      <c r="J34" s="15">
        <v>1605.71</v>
      </c>
      <c r="K34" s="15">
        <v>1605.71</v>
      </c>
      <c r="L34" s="15">
        <v>1605.71</v>
      </c>
      <c r="M34" s="15">
        <v>1605.71</v>
      </c>
      <c r="N34" s="10">
        <f t="shared" si="15"/>
        <v>18355.499999999996</v>
      </c>
    </row>
    <row r="35" spans="1:14" s="6" customFormat="1" ht="26.25" customHeight="1" thickBot="1" x14ac:dyDescent="0.3">
      <c r="A35" s="5" t="s">
        <v>21</v>
      </c>
      <c r="B35" s="15">
        <v>10707</v>
      </c>
      <c r="C35" s="15">
        <v>5830.75</v>
      </c>
      <c r="D35" s="15">
        <v>13919.09</v>
      </c>
      <c r="E35" s="15">
        <v>18525.599999999999</v>
      </c>
      <c r="F35" s="15">
        <v>8698.4</v>
      </c>
      <c r="G35" s="15">
        <v>0</v>
      </c>
      <c r="H35" s="15">
        <v>34210.57</v>
      </c>
      <c r="I35" s="15">
        <v>0</v>
      </c>
      <c r="J35" s="15">
        <v>29630.75</v>
      </c>
      <c r="K35" s="15">
        <v>453.01</v>
      </c>
      <c r="L35" s="15">
        <v>21037.31</v>
      </c>
      <c r="M35" s="15">
        <v>38201.480000000003</v>
      </c>
      <c r="N35" s="10">
        <f t="shared" si="15"/>
        <v>181213.96000000002</v>
      </c>
    </row>
    <row r="36" spans="1:14" ht="26.25" customHeight="1" thickBot="1" x14ac:dyDescent="0.3">
      <c r="A36" s="4" t="s">
        <v>27</v>
      </c>
      <c r="B36" s="10">
        <v>1869.82</v>
      </c>
      <c r="C36" s="10">
        <v>1869.82</v>
      </c>
      <c r="D36" s="10">
        <v>1869.82</v>
      </c>
      <c r="E36" s="10">
        <v>1869.82</v>
      </c>
      <c r="F36" s="10">
        <v>1869.82</v>
      </c>
      <c r="G36" s="10">
        <v>1869.82</v>
      </c>
      <c r="H36" s="10">
        <f>1080.04+1080.04</f>
        <v>2160.08</v>
      </c>
      <c r="I36" s="10">
        <f>1080.04+1080.04</f>
        <v>2160.08</v>
      </c>
      <c r="J36" s="10">
        <f>1080.04+1080.04</f>
        <v>2160.08</v>
      </c>
      <c r="K36" s="10">
        <f>1080.04+1080.04</f>
        <v>2160.08</v>
      </c>
      <c r="L36" s="10">
        <f t="shared" ref="L36:M36" si="17">1080.04+1080.04</f>
        <v>2160.08</v>
      </c>
      <c r="M36" s="10">
        <f t="shared" si="17"/>
        <v>2160.08</v>
      </c>
      <c r="N36" s="10">
        <f t="shared" si="15"/>
        <v>24179.4</v>
      </c>
    </row>
    <row r="37" spans="1:14" ht="22.5" customHeight="1" thickBot="1" x14ac:dyDescent="0.3">
      <c r="A37" s="4" t="s">
        <v>6</v>
      </c>
      <c r="B37" s="15">
        <f>11925.2*3.22</f>
        <v>38399.144000000008</v>
      </c>
      <c r="C37" s="15">
        <f t="shared" ref="C37:M37" si="18">11925.2*3.22</f>
        <v>38399.144000000008</v>
      </c>
      <c r="D37" s="15">
        <f t="shared" si="18"/>
        <v>38399.144000000008</v>
      </c>
      <c r="E37" s="15">
        <f t="shared" si="18"/>
        <v>38399.144000000008</v>
      </c>
      <c r="F37" s="15">
        <f t="shared" si="18"/>
        <v>38399.144000000008</v>
      </c>
      <c r="G37" s="15">
        <f t="shared" si="18"/>
        <v>38399.144000000008</v>
      </c>
      <c r="H37" s="15">
        <f t="shared" si="18"/>
        <v>38399.144000000008</v>
      </c>
      <c r="I37" s="15">
        <f t="shared" si="18"/>
        <v>38399.144000000008</v>
      </c>
      <c r="J37" s="15">
        <f t="shared" si="18"/>
        <v>38399.144000000008</v>
      </c>
      <c r="K37" s="15">
        <f t="shared" si="18"/>
        <v>38399.144000000008</v>
      </c>
      <c r="L37" s="15">
        <f t="shared" si="18"/>
        <v>38399.144000000008</v>
      </c>
      <c r="M37" s="15">
        <f t="shared" si="18"/>
        <v>38399.144000000008</v>
      </c>
      <c r="N37" s="10">
        <f t="shared" si="15"/>
        <v>460789.72800000018</v>
      </c>
    </row>
    <row r="38" spans="1:14" ht="24.75" customHeight="1" thickBot="1" x14ac:dyDescent="0.3">
      <c r="A38" s="4" t="s">
        <v>25</v>
      </c>
      <c r="B38" s="10">
        <f>6987.71*6</f>
        <v>41926.26</v>
      </c>
      <c r="C38" s="10">
        <f>6987.71*6</f>
        <v>41926.26</v>
      </c>
      <c r="D38" s="10">
        <f>6987.71*6</f>
        <v>41926.26</v>
      </c>
      <c r="E38" s="10">
        <f>7342.02*6</f>
        <v>44052.12</v>
      </c>
      <c r="F38" s="10">
        <f>7342.02*6</f>
        <v>44052.12</v>
      </c>
      <c r="G38" s="10">
        <f>7342.02*6</f>
        <v>44052.12</v>
      </c>
      <c r="H38" s="10">
        <f>7342.02*6</f>
        <v>44052.12</v>
      </c>
      <c r="I38" s="10">
        <f>7342.02*6</f>
        <v>44052.12</v>
      </c>
      <c r="J38" s="10">
        <f t="shared" ref="J38:M38" si="19">7342.02*6</f>
        <v>44052.12</v>
      </c>
      <c r="K38" s="10">
        <f t="shared" si="19"/>
        <v>44052.12</v>
      </c>
      <c r="L38" s="10">
        <f t="shared" si="19"/>
        <v>44052.12</v>
      </c>
      <c r="M38" s="10">
        <f t="shared" si="19"/>
        <v>44052.12</v>
      </c>
      <c r="N38" s="10">
        <f t="shared" ref="N38:N39" si="20">SUM(B38:M38)</f>
        <v>522247.86</v>
      </c>
    </row>
    <row r="39" spans="1:14" ht="24.75" customHeight="1" thickBot="1" x14ac:dyDescent="0.3">
      <c r="A39" s="4" t="s">
        <v>26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f>3900*6</f>
        <v>23400</v>
      </c>
      <c r="K39" s="10">
        <v>0</v>
      </c>
      <c r="L39" s="10">
        <v>0</v>
      </c>
      <c r="M39" s="10">
        <v>0</v>
      </c>
      <c r="N39" s="10">
        <f t="shared" si="20"/>
        <v>23400</v>
      </c>
    </row>
    <row r="40" spans="1:14" ht="21.75" customHeight="1" thickBot="1" x14ac:dyDescent="0.3">
      <c r="A40" s="4" t="s">
        <v>44</v>
      </c>
      <c r="B40" s="10">
        <v>0</v>
      </c>
      <c r="C40" s="10">
        <v>7195.53</v>
      </c>
      <c r="D40" s="10">
        <v>7385.9</v>
      </c>
      <c r="E40" s="10">
        <v>7127.89</v>
      </c>
      <c r="F40" s="10">
        <v>7007.32</v>
      </c>
      <c r="G40" s="10">
        <v>7188.19</v>
      </c>
      <c r="H40" s="10">
        <v>7041.8</v>
      </c>
      <c r="I40" s="10">
        <v>7849.95</v>
      </c>
      <c r="J40" s="10">
        <v>13940.52</v>
      </c>
      <c r="K40" s="10">
        <v>12864.52</v>
      </c>
      <c r="L40" s="10">
        <v>13146.13</v>
      </c>
      <c r="M40" s="10">
        <v>12989.7</v>
      </c>
      <c r="N40" s="10">
        <f t="shared" si="15"/>
        <v>103737.45000000001</v>
      </c>
    </row>
    <row r="41" spans="1:14" ht="21.75" customHeight="1" thickBot="1" x14ac:dyDescent="0.3">
      <c r="A41" s="4" t="s">
        <v>45</v>
      </c>
      <c r="B41" s="10">
        <v>0</v>
      </c>
      <c r="C41" s="10">
        <f>3787.08+1641</f>
        <v>5428.08</v>
      </c>
      <c r="D41" s="10">
        <f>3887.1+1684</f>
        <v>5571.1</v>
      </c>
      <c r="E41" s="10">
        <f>1626+3751.67</f>
        <v>5377.67</v>
      </c>
      <c r="F41" s="10">
        <f>1599+3688.42</f>
        <v>5287.42</v>
      </c>
      <c r="G41" s="10">
        <f>1639+3783.08</f>
        <v>5422.08</v>
      </c>
      <c r="H41" s="10">
        <f>1606+3706.2</f>
        <v>5312.2</v>
      </c>
      <c r="I41" s="10">
        <f>1790+4131.41</f>
        <v>5921.41</v>
      </c>
      <c r="J41" s="10">
        <f>3038+6391.86</f>
        <v>9429.86</v>
      </c>
      <c r="K41" s="10">
        <f>2844+6167.74</f>
        <v>9011.74</v>
      </c>
      <c r="L41" s="10">
        <f>2895+6226.43</f>
        <v>9121.43</v>
      </c>
      <c r="M41" s="10">
        <f>2867+6193.89</f>
        <v>9060.89</v>
      </c>
      <c r="N41" s="10">
        <f t="shared" si="15"/>
        <v>74943.87999999999</v>
      </c>
    </row>
    <row r="42" spans="1:14" ht="24.75" customHeight="1" thickBot="1" x14ac:dyDescent="0.3">
      <c r="A42" s="4" t="s">
        <v>24</v>
      </c>
      <c r="B42" s="10">
        <v>900</v>
      </c>
      <c r="C42" s="10">
        <v>900</v>
      </c>
      <c r="D42" s="10">
        <v>900</v>
      </c>
      <c r="E42" s="10">
        <v>900</v>
      </c>
      <c r="F42" s="10">
        <v>0</v>
      </c>
      <c r="G42" s="10">
        <v>0</v>
      </c>
      <c r="H42" s="10">
        <v>0</v>
      </c>
      <c r="I42" s="10">
        <v>0</v>
      </c>
      <c r="J42" s="10">
        <v>900</v>
      </c>
      <c r="K42" s="10">
        <v>900</v>
      </c>
      <c r="L42" s="10">
        <v>900</v>
      </c>
      <c r="M42" s="10">
        <v>900</v>
      </c>
      <c r="N42" s="10">
        <f t="shared" si="15"/>
        <v>7200</v>
      </c>
    </row>
    <row r="43" spans="1:14" ht="24" customHeight="1" thickBot="1" x14ac:dyDescent="0.3">
      <c r="A43" s="4" t="s">
        <v>10</v>
      </c>
      <c r="B43" s="10">
        <f>105+3059.6+1193.9+13415.3+4370.4+1266.2+143217.39</f>
        <v>166627.79</v>
      </c>
      <c r="C43" s="10">
        <f>7297.5+1614.96</f>
        <v>8912.4599999999991</v>
      </c>
      <c r="D43" s="10">
        <f>3500+3897.2+324.6+17079</f>
        <v>24800.799999999999</v>
      </c>
      <c r="E43" s="10">
        <f>1808.1+1821</f>
        <v>3629.1</v>
      </c>
      <c r="F43" s="10">
        <f>991+969.1+3651+14447.1+500+6130</f>
        <v>26688.2</v>
      </c>
      <c r="G43" s="10">
        <f>2533.5+441.3+118000</f>
        <v>120974.8</v>
      </c>
      <c r="H43" s="10">
        <f>1967.2+1871.1+1484+105+8000</f>
        <v>13427.3</v>
      </c>
      <c r="I43" s="10">
        <f>500+4322.1+7090.1+4132+863.6+1965.2+479615.14</f>
        <v>498488.14</v>
      </c>
      <c r="J43" s="10">
        <f>128000</f>
        <v>128000</v>
      </c>
      <c r="K43" s="10">
        <f>105+652.2+10000+21675</f>
        <v>32432.2</v>
      </c>
      <c r="L43" s="10">
        <f>53000+105+11218.2+2242.4+5859.4+5107.3+9595.2</f>
        <v>87127.499999999985</v>
      </c>
      <c r="M43" s="10">
        <f>31500+872.5+15000</f>
        <v>47372.5</v>
      </c>
      <c r="N43" s="10">
        <f t="shared" si="15"/>
        <v>1158480.79</v>
      </c>
    </row>
    <row r="44" spans="1:14" ht="22.5" customHeight="1" thickBot="1" x14ac:dyDescent="0.3">
      <c r="A44" s="20" t="s">
        <v>22</v>
      </c>
      <c r="B44" s="9">
        <f t="shared" ref="B44:M44" si="21">SUM(B28:B43)</f>
        <v>387166.21435000002</v>
      </c>
      <c r="C44" s="9">
        <f t="shared" si="21"/>
        <v>255651.13239000001</v>
      </c>
      <c r="D44" s="9">
        <f t="shared" si="21"/>
        <v>262394.69339000003</v>
      </c>
      <c r="E44" s="9">
        <f t="shared" si="21"/>
        <v>251012.50630000004</v>
      </c>
      <c r="F44" s="9">
        <f t="shared" si="21"/>
        <v>271321.96430000005</v>
      </c>
      <c r="G44" s="9">
        <f t="shared" si="21"/>
        <v>394457.81313000002</v>
      </c>
      <c r="H44" s="9">
        <f t="shared" si="21"/>
        <v>282912.42969000002</v>
      </c>
      <c r="I44" s="9">
        <f t="shared" si="21"/>
        <v>736668.23982999998</v>
      </c>
      <c r="J44" s="9">
        <f t="shared" si="21"/>
        <v>418663.49927999999</v>
      </c>
      <c r="K44" s="9">
        <f t="shared" si="21"/>
        <v>304571.02756000002</v>
      </c>
      <c r="L44" s="9">
        <f t="shared" si="21"/>
        <v>381198.39048</v>
      </c>
      <c r="M44" s="9">
        <f t="shared" si="21"/>
        <v>346287.32268000004</v>
      </c>
      <c r="N44" s="9">
        <f>SUM(B44:M44)</f>
        <v>4292305.2333800001</v>
      </c>
    </row>
    <row r="45" spans="1:14" ht="23.25" customHeight="1" thickBot="1" x14ac:dyDescent="0.3">
      <c r="A45" s="4" t="s">
        <v>5</v>
      </c>
      <c r="B45" s="16">
        <f t="shared" ref="B45:N45" si="22">B17-B44</f>
        <v>-110854.20435000001</v>
      </c>
      <c r="C45" s="16">
        <f t="shared" si="22"/>
        <v>42057.217610000022</v>
      </c>
      <c r="D45" s="16">
        <f t="shared" si="22"/>
        <v>34447.296609999961</v>
      </c>
      <c r="E45" s="16">
        <f t="shared" si="22"/>
        <v>40784.763699999923</v>
      </c>
      <c r="F45" s="16">
        <f t="shared" si="22"/>
        <v>28495.635699999984</v>
      </c>
      <c r="G45" s="16">
        <f t="shared" si="22"/>
        <v>-5614.4031300000497</v>
      </c>
      <c r="H45" s="16">
        <f t="shared" si="22"/>
        <v>19641.740309999965</v>
      </c>
      <c r="I45" s="16">
        <f t="shared" si="22"/>
        <v>-276957.89982999995</v>
      </c>
      <c r="J45" s="16">
        <f t="shared" si="22"/>
        <v>-92450.399279999954</v>
      </c>
      <c r="K45" s="16">
        <f t="shared" si="22"/>
        <v>-14739.307559999987</v>
      </c>
      <c r="L45" s="16">
        <f t="shared" si="22"/>
        <v>-63421.69047999999</v>
      </c>
      <c r="M45" s="16">
        <f t="shared" si="22"/>
        <v>-7370.7526800000342</v>
      </c>
      <c r="N45" s="16">
        <f t="shared" si="22"/>
        <v>-405982.00337999966</v>
      </c>
    </row>
    <row r="46" spans="1:14" ht="23.25" customHeight="1" thickBot="1" x14ac:dyDescent="0.3">
      <c r="A46" s="4" t="s">
        <v>7</v>
      </c>
      <c r="B46" s="12">
        <f t="shared" ref="B46:N46" si="23">B5+B45</f>
        <v>-1746993.7543500001</v>
      </c>
      <c r="C46" s="12">
        <f t="shared" si="23"/>
        <v>-1704936.5367400001</v>
      </c>
      <c r="D46" s="12">
        <f t="shared" si="23"/>
        <v>-1670489.2401300003</v>
      </c>
      <c r="E46" s="12">
        <f t="shared" si="23"/>
        <v>-1629704.4764300003</v>
      </c>
      <c r="F46" s="12">
        <f t="shared" si="23"/>
        <v>-1601208.8407300003</v>
      </c>
      <c r="G46" s="12">
        <f t="shared" si="23"/>
        <v>-1606823.2438600003</v>
      </c>
      <c r="H46" s="12">
        <f t="shared" si="23"/>
        <v>-1587181.5035500003</v>
      </c>
      <c r="I46" s="12">
        <f t="shared" si="23"/>
        <v>-1864139.4033800003</v>
      </c>
      <c r="J46" s="12">
        <f t="shared" si="23"/>
        <v>-1956589.8026600003</v>
      </c>
      <c r="K46" s="12">
        <f t="shared" si="23"/>
        <v>-1971329.1102200001</v>
      </c>
      <c r="L46" s="12">
        <f t="shared" si="23"/>
        <v>-2034750.8007</v>
      </c>
      <c r="M46" s="12">
        <f t="shared" si="23"/>
        <v>-2042121.5533799999</v>
      </c>
      <c r="N46" s="12">
        <f t="shared" si="23"/>
        <v>-2042121.5533799997</v>
      </c>
    </row>
    <row r="47" spans="1:14" ht="23.25" customHeight="1" thickBot="1" x14ac:dyDescent="0.3">
      <c r="A47" s="4" t="s">
        <v>47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12656.68</v>
      </c>
      <c r="J47" s="10">
        <v>0</v>
      </c>
      <c r="K47" s="10">
        <v>0</v>
      </c>
      <c r="L47" s="10">
        <v>0</v>
      </c>
      <c r="M47" s="10">
        <v>0</v>
      </c>
      <c r="N47" s="10">
        <f>SUM(B47:M47)</f>
        <v>12656.68</v>
      </c>
    </row>
    <row r="48" spans="1:14" ht="27" customHeight="1" thickBot="1" x14ac:dyDescent="0.3">
      <c r="A48" s="22" t="s">
        <v>11</v>
      </c>
      <c r="B48" s="17">
        <f>B6+B17-B7</f>
        <v>-724626.38</v>
      </c>
      <c r="C48" s="17">
        <f t="shared" ref="C48:H48" si="24">C6+C17-C7</f>
        <v>-713883.24</v>
      </c>
      <c r="D48" s="17">
        <f t="shared" si="24"/>
        <v>-717043.77</v>
      </c>
      <c r="E48" s="17">
        <f t="shared" si="24"/>
        <v>-714743.17</v>
      </c>
      <c r="F48" s="17">
        <f t="shared" si="24"/>
        <v>-821620.54</v>
      </c>
      <c r="G48" s="17">
        <f t="shared" si="24"/>
        <v>-727281.44000000006</v>
      </c>
      <c r="H48" s="17">
        <f t="shared" si="24"/>
        <v>-890420.57000000007</v>
      </c>
      <c r="I48" s="17">
        <f>I6+I17-I7+I47</f>
        <v>-745221.95</v>
      </c>
      <c r="J48" s="17">
        <f t="shared" ref="J48:M48" si="25">J6+J17-J7+J47</f>
        <v>-711965.71</v>
      </c>
      <c r="K48" s="17">
        <f t="shared" si="25"/>
        <v>-737970.34</v>
      </c>
      <c r="L48" s="17">
        <f t="shared" si="25"/>
        <v>-743504.33999999985</v>
      </c>
      <c r="M48" s="17">
        <f t="shared" si="25"/>
        <v>-747892.5299999998</v>
      </c>
      <c r="N48" s="17">
        <f>N6+N17-N7+N47</f>
        <v>-747892.52999999898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2025-03-17T04:23:59Z</cp:lastPrinted>
  <dcterms:created xsi:type="dcterms:W3CDTF">2011-06-06T03:25:48Z</dcterms:created>
  <dcterms:modified xsi:type="dcterms:W3CDTF">2025-03-17T04:45:37Z</dcterms:modified>
</cp:coreProperties>
</file>