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4" sheetId="1" r:id="rId1"/>
  </sheets>
  <calcPr calcId="144525" refMode="R1C1" calcOnSave="0" concurrentCalc="0"/>
</workbook>
</file>

<file path=xl/calcChain.xml><?xml version="1.0" encoding="utf-8"?>
<calcChain xmlns="http://schemas.openxmlformats.org/spreadsheetml/2006/main">
  <c r="M43" i="1" l="1"/>
  <c r="N43" i="1"/>
  <c r="L43" i="1"/>
  <c r="M37" i="1"/>
  <c r="L37" i="1"/>
  <c r="K37" i="1"/>
  <c r="L38" i="1"/>
  <c r="M36" i="1"/>
  <c r="L36" i="1"/>
  <c r="K36" i="1"/>
  <c r="K38" i="1"/>
  <c r="M27" i="1"/>
  <c r="M16" i="1"/>
  <c r="M26" i="1"/>
  <c r="M8" i="1"/>
  <c r="L27" i="1"/>
  <c r="L16" i="1"/>
  <c r="L26" i="1"/>
  <c r="L8" i="1"/>
  <c r="N42" i="1"/>
  <c r="K27" i="1"/>
  <c r="K16" i="1"/>
  <c r="K26" i="1"/>
  <c r="K8" i="1"/>
  <c r="K33" i="1"/>
  <c r="L33" i="1"/>
  <c r="M33" i="1"/>
  <c r="K28" i="1"/>
  <c r="L28" i="1"/>
  <c r="M28" i="1"/>
  <c r="K25" i="1"/>
  <c r="L25" i="1"/>
  <c r="M25" i="1"/>
  <c r="K24" i="1"/>
  <c r="L24" i="1"/>
  <c r="M24" i="1"/>
  <c r="J37" i="1"/>
  <c r="I37" i="1"/>
  <c r="H37" i="1"/>
  <c r="J32" i="1"/>
  <c r="J29" i="1"/>
  <c r="I29" i="1"/>
  <c r="H29" i="1"/>
  <c r="I38" i="1"/>
  <c r="J36" i="1"/>
  <c r="I36" i="1"/>
  <c r="H36" i="1"/>
  <c r="J27" i="1"/>
  <c r="J16" i="1"/>
  <c r="J26" i="1"/>
  <c r="J8" i="1"/>
  <c r="I27" i="1"/>
  <c r="I16" i="1"/>
  <c r="I26" i="1"/>
  <c r="I8" i="1"/>
  <c r="H27" i="1"/>
  <c r="H16" i="1"/>
  <c r="H26" i="1"/>
  <c r="H8" i="1"/>
  <c r="H33" i="1"/>
  <c r="I33" i="1"/>
  <c r="J33" i="1"/>
  <c r="H28" i="1"/>
  <c r="I28" i="1"/>
  <c r="J28" i="1"/>
  <c r="H25" i="1"/>
  <c r="I25" i="1"/>
  <c r="J25" i="1"/>
  <c r="H24" i="1"/>
  <c r="I24" i="1"/>
  <c r="J24" i="1"/>
  <c r="C37" i="1"/>
  <c r="D37" i="1"/>
  <c r="E37" i="1"/>
  <c r="F37" i="1"/>
  <c r="G37" i="1"/>
  <c r="B37" i="1"/>
  <c r="G38" i="1"/>
  <c r="F29" i="1"/>
  <c r="F38" i="1"/>
  <c r="G36" i="1"/>
  <c r="F36" i="1"/>
  <c r="E36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24" i="1"/>
  <c r="G27" i="1"/>
  <c r="G16" i="1"/>
  <c r="G26" i="1"/>
  <c r="G8" i="1"/>
  <c r="F27" i="1"/>
  <c r="F16" i="1"/>
  <c r="F26" i="1"/>
  <c r="F8" i="1"/>
  <c r="E27" i="1"/>
  <c r="E16" i="1"/>
  <c r="E26" i="1"/>
  <c r="E8" i="1"/>
  <c r="E38" i="1"/>
  <c r="E33" i="1"/>
  <c r="F33" i="1"/>
  <c r="G33" i="1"/>
  <c r="E28" i="1"/>
  <c r="F28" i="1"/>
  <c r="G28" i="1"/>
  <c r="E25" i="1"/>
  <c r="F25" i="1"/>
  <c r="G25" i="1"/>
  <c r="E24" i="1"/>
  <c r="F24" i="1"/>
  <c r="G24" i="1"/>
  <c r="D36" i="1"/>
  <c r="C36" i="1"/>
  <c r="D38" i="1"/>
  <c r="D27" i="1"/>
  <c r="D16" i="1"/>
  <c r="D26" i="1"/>
  <c r="D8" i="1"/>
  <c r="C27" i="1"/>
  <c r="C16" i="1"/>
  <c r="C26" i="1"/>
  <c r="C8" i="1"/>
  <c r="B27" i="1"/>
  <c r="B16" i="1"/>
  <c r="B26" i="1"/>
  <c r="B8" i="1"/>
  <c r="C33" i="1"/>
  <c r="D33" i="1"/>
  <c r="C28" i="1"/>
  <c r="D28" i="1"/>
  <c r="C25" i="1"/>
  <c r="D25" i="1"/>
  <c r="C24" i="1"/>
  <c r="C39" i="1"/>
  <c r="D24" i="1"/>
  <c r="D39" i="1"/>
  <c r="B33" i="1"/>
  <c r="B28" i="1"/>
  <c r="B25" i="1"/>
  <c r="B24" i="1"/>
  <c r="N39" i="1"/>
  <c r="B39" i="1"/>
  <c r="N6" i="1"/>
  <c r="N5" i="1"/>
  <c r="M7" i="1"/>
  <c r="N8" i="1"/>
  <c r="K7" i="1"/>
  <c r="N17" i="1"/>
  <c r="N18" i="1"/>
  <c r="N19" i="1"/>
  <c r="N20" i="1"/>
  <c r="N21" i="1"/>
  <c r="N22" i="1"/>
  <c r="N16" i="1"/>
  <c r="K15" i="1"/>
  <c r="L15" i="1"/>
  <c r="M15" i="1"/>
  <c r="N9" i="1"/>
  <c r="N10" i="1"/>
  <c r="N11" i="1"/>
  <c r="N12" i="1"/>
  <c r="N13" i="1"/>
  <c r="N14" i="1"/>
  <c r="L7" i="1"/>
  <c r="M39" i="1"/>
  <c r="M40" i="1"/>
  <c r="L39" i="1"/>
  <c r="L40" i="1"/>
  <c r="K39" i="1"/>
  <c r="K40" i="1"/>
  <c r="H15" i="1"/>
  <c r="I15" i="1"/>
  <c r="J15" i="1"/>
  <c r="H7" i="1"/>
  <c r="I7" i="1"/>
  <c r="J7" i="1"/>
  <c r="J39" i="1"/>
  <c r="J40" i="1"/>
  <c r="I39" i="1"/>
  <c r="I40" i="1"/>
  <c r="H39" i="1"/>
  <c r="H40" i="1"/>
  <c r="G7" i="1"/>
  <c r="E7" i="1"/>
  <c r="E15" i="1"/>
  <c r="F15" i="1"/>
  <c r="G15" i="1"/>
  <c r="F7" i="1"/>
  <c r="D15" i="1"/>
  <c r="D7" i="1"/>
  <c r="C15" i="1"/>
  <c r="C7" i="1"/>
  <c r="B15" i="1"/>
  <c r="B7" i="1"/>
  <c r="C40" i="1"/>
  <c r="N15" i="1"/>
  <c r="N7" i="1"/>
  <c r="F39" i="1"/>
  <c r="F40" i="1"/>
  <c r="E39" i="1"/>
  <c r="B43" i="1"/>
  <c r="C6" i="1"/>
  <c r="D40" i="1"/>
  <c r="C43" i="1"/>
  <c r="D6" i="1"/>
  <c r="D43" i="1"/>
  <c r="E6" i="1"/>
  <c r="E40" i="1"/>
  <c r="G39" i="1"/>
  <c r="G40" i="1"/>
  <c r="N40" i="1"/>
  <c r="N41" i="1"/>
  <c r="B40" i="1"/>
  <c r="B41" i="1"/>
  <c r="C5" i="1"/>
  <c r="E43" i="1"/>
  <c r="F6" i="1"/>
  <c r="C41" i="1"/>
  <c r="D41" i="1"/>
  <c r="F43" i="1"/>
  <c r="G6" i="1"/>
  <c r="D5" i="1"/>
  <c r="G43" i="1"/>
  <c r="H6" i="1"/>
  <c r="E5" i="1"/>
  <c r="E41" i="1"/>
  <c r="H43" i="1"/>
  <c r="I6" i="1"/>
  <c r="F41" i="1"/>
  <c r="F5" i="1"/>
  <c r="I43" i="1"/>
  <c r="J6" i="1"/>
  <c r="G5" i="1"/>
  <c r="G41" i="1"/>
  <c r="J43" i="1"/>
  <c r="K6" i="1"/>
  <c r="H5" i="1"/>
  <c r="H41" i="1"/>
  <c r="K43" i="1"/>
  <c r="L6" i="1"/>
  <c r="I5" i="1"/>
  <c r="I41" i="1"/>
  <c r="M6" i="1"/>
  <c r="J5" i="1"/>
  <c r="J41" i="1"/>
  <c r="K5" i="1"/>
  <c r="K41" i="1"/>
  <c r="L41" i="1"/>
  <c r="L5" i="1"/>
  <c r="M5" i="1"/>
  <c r="M41" i="1"/>
</calcChain>
</file>

<file path=xl/sharedStrings.xml><?xml version="1.0" encoding="utf-8"?>
<sst xmlns="http://schemas.openxmlformats.org/spreadsheetml/2006/main" count="54" uniqueCount="46">
  <si>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</si>
  <si>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</si>
  <si>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</si>
  <si>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</si>
  <si>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</si>
  <si>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</si>
  <si>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</si>
  <si>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</si>
  <si>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</si>
  <si>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</si>
  <si>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</si>
  <si>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</si>
  <si>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</si>
  <si>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</si>
  <si>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</si>
  <si>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</si>
  <si>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</si>
  <si>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</si>
  <si>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</si>
  <si>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</si>
  <si>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</si>
  <si>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</si>
  <si>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</si>
  <si>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</si>
  <si>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 xml:space="preserve">Отведение стоков ОИ </t>
  </si>
  <si>
    <t>Содержание жилья и текущий ремонт,  ОПУ</t>
  </si>
  <si>
    <t xml:space="preserve">Содержание жилья и текущий ремонт,  ОПУ </t>
  </si>
  <si>
    <t>ЕИРКЦ (ведение счета по кап.ремонту)</t>
  </si>
  <si>
    <t>Тех.обслуживание ОДПУ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</si>
  <si>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</si>
  <si>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</si>
  <si>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</si>
  <si>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</si>
  <si>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</si>
  <si>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</si>
  <si>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2024г.</t>
  </si>
  <si>
    <t>Август 2024г.</t>
  </si>
  <si>
    <t>Сентябрь 2024г.</t>
  </si>
  <si>
    <t>Октябрь 2024г</t>
  </si>
  <si>
    <t>Ноябрь 2024г</t>
  </si>
  <si>
    <t>Декабрь 2024г</t>
  </si>
  <si>
    <t>Всего:                       за  2024г</t>
  </si>
  <si>
    <t>Вознаграждение совета МКД</t>
  </si>
  <si>
    <t>Налоги с вознаграждения совета МКД</t>
  </si>
  <si>
    <t xml:space="preserve">                 ОТЧЕТ по дому Ломоносова, 30 за период 01.01.2024г. по 31.12.2024г.</t>
  </si>
  <si>
    <t>Корректировка задолженности по решению суда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</si>
</sst>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topLeftCell="B31" zoomScale="75" workbookViewId="0">
      <selection activeCell="K45" sqref="K45"/>
    </sheetView>
  </sheetViews>
  <sheetFormatPr defaultRowHeight="13.2" x14ac:dyDescent="0.25"/>
  <cols>
    <col min="1" max="1" width="58.6640625" customWidth="1"/>
    <col min="2" max="2" width="13.33203125" customWidth="1"/>
    <col min="3" max="4" width="13.44140625" customWidth="1"/>
    <col min="5" max="6" width="13.5546875" customWidth="1"/>
    <col min="7" max="7" width="13.44140625" customWidth="1"/>
    <col min="8" max="8" width="13.88671875" customWidth="1"/>
    <col min="9" max="9" width="13.5546875" customWidth="1"/>
    <col min="10" max="13" width="13.88671875" customWidth="1"/>
    <col min="14" max="14" width="15.109375" customWidth="1"/>
  </cols>
  <sheetData>
    <row r="1" spans="1:18" ht="20.25" customHeight="1" x14ac:dyDescent="0.35">
      <c r="A1" s="21" t="s">
        <v>44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29</v>
      </c>
      <c r="C4" s="6" t="s">
        <v>30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37</v>
      </c>
      <c r="K4" s="6" t="s">
        <v>38</v>
      </c>
      <c r="L4" s="6" t="s">
        <v>39</v>
      </c>
      <c r="M4" s="6" t="s">
        <v>40</v>
      </c>
      <c r="N4" s="6" t="s">
        <v>41</v>
      </c>
    </row>
    <row r="5" spans="1:18" ht="23.25" customHeight="1" thickBot="1" x14ac:dyDescent="0.3">
      <c r="A5" s="7" t="s">
        <v>15</v>
      </c>
      <c r="B5" s="8">
        <v>-161209.68</v>
      </c>
      <c r="C5" s="8">
        <f t="shared" ref="C5:D5" si="0">B41</f>
        <v>-151995.01413999998</v>
      </c>
      <c r="D5" s="8">
        <f t="shared" si="0"/>
        <v>-142724.11795999997</v>
      </c>
      <c r="E5" s="8">
        <f t="shared" ref="E5" si="1">D41</f>
        <v>-118481.83693999998</v>
      </c>
      <c r="F5" s="8">
        <f t="shared" ref="F5" si="2">E41</f>
        <v>-108311.80265999997</v>
      </c>
      <c r="G5" s="8">
        <f t="shared" ref="G5" si="3">F41</f>
        <v>-145230.51624999996</v>
      </c>
      <c r="H5" s="8">
        <f t="shared" ref="H5" si="4">G41</f>
        <v>-132195.46626999995</v>
      </c>
      <c r="I5" s="8">
        <f t="shared" ref="I5" si="5">H41</f>
        <v>-135096.53695999994</v>
      </c>
      <c r="J5" s="8">
        <f t="shared" ref="J5" si="6">I41</f>
        <v>-116368.43095999994</v>
      </c>
      <c r="K5" s="8">
        <f t="shared" ref="K5" si="7">J41</f>
        <v>-115444.95334999994</v>
      </c>
      <c r="L5" s="8">
        <f t="shared" ref="L5" si="8">K41</f>
        <v>-115291.77736999994</v>
      </c>
      <c r="M5" s="8">
        <f t="shared" ref="M5" si="9">L41</f>
        <v>-113949.50727999993</v>
      </c>
      <c r="N5" s="8">
        <f>B5</f>
        <v>-161209.68</v>
      </c>
    </row>
    <row r="6" spans="1:18" ht="21" customHeight="1" thickBot="1" x14ac:dyDescent="0.3">
      <c r="A6" s="7" t="s">
        <v>13</v>
      </c>
      <c r="B6" s="8">
        <v>-168338.43</v>
      </c>
      <c r="C6" s="8">
        <f t="shared" ref="C6:M6" si="10">B43</f>
        <v>-171067.68</v>
      </c>
      <c r="D6" s="8">
        <f t="shared" si="10"/>
        <v>-171574.81999999998</v>
      </c>
      <c r="E6" s="8">
        <f t="shared" si="10"/>
        <v>-154333.12999999995</v>
      </c>
      <c r="F6" s="8">
        <f t="shared" si="10"/>
        <v>-155516.61999999994</v>
      </c>
      <c r="G6" s="8">
        <f t="shared" si="10"/>
        <v>-159925.16999999993</v>
      </c>
      <c r="H6" s="8">
        <f t="shared" si="10"/>
        <v>-153659.09999999992</v>
      </c>
      <c r="I6" s="8">
        <f t="shared" si="10"/>
        <v>-157436.4499999999</v>
      </c>
      <c r="J6" s="8">
        <f t="shared" si="10"/>
        <v>-144631.6999999999</v>
      </c>
      <c r="K6" s="8">
        <f t="shared" si="10"/>
        <v>-145774.02999999988</v>
      </c>
      <c r="L6" s="8">
        <f t="shared" si="10"/>
        <v>-135139.91999999987</v>
      </c>
      <c r="M6" s="8">
        <f t="shared" si="10"/>
        <v>-125725.42999999983</v>
      </c>
      <c r="N6" s="8">
        <f>B6</f>
        <v>-168338.43</v>
      </c>
    </row>
    <row r="7" spans="1:18" ht="20.25" customHeight="1" thickBot="1" x14ac:dyDescent="0.3">
      <c r="A7" s="9" t="s">
        <v>12</v>
      </c>
      <c r="B7" s="10">
        <f t="shared" ref="B7:M7" si="11">SUM(B8:B14)</f>
        <v>37025.879999999997</v>
      </c>
      <c r="C7" s="10">
        <f t="shared" si="11"/>
        <v>37870.339999999989</v>
      </c>
      <c r="D7" s="10">
        <f t="shared" si="11"/>
        <v>37446.759999999995</v>
      </c>
      <c r="E7" s="10">
        <f t="shared" si="11"/>
        <v>40991.139999999992</v>
      </c>
      <c r="F7" s="10">
        <f t="shared" si="11"/>
        <v>40824.53</v>
      </c>
      <c r="G7" s="10">
        <f t="shared" si="11"/>
        <v>39908.639999999999</v>
      </c>
      <c r="H7" s="10">
        <f t="shared" si="11"/>
        <v>41013.229999999996</v>
      </c>
      <c r="I7" s="10">
        <f t="shared" si="11"/>
        <v>43915.5</v>
      </c>
      <c r="J7" s="10">
        <f t="shared" si="11"/>
        <v>42191.929999999993</v>
      </c>
      <c r="K7" s="10">
        <f t="shared" si="11"/>
        <v>44696.239999999991</v>
      </c>
      <c r="L7" s="10">
        <f t="shared" si="11"/>
        <v>42100.17</v>
      </c>
      <c r="M7" s="10">
        <f t="shared" si="11"/>
        <v>40518.03</v>
      </c>
      <c r="N7" s="10">
        <f>SUM(B7:M7)</f>
        <v>488502.3899999999</v>
      </c>
    </row>
    <row r="8" spans="1:18" ht="24.75" customHeight="1" thickBot="1" x14ac:dyDescent="0.3">
      <c r="A8" s="4" t="s">
        <v>25</v>
      </c>
      <c r="B8" s="11">
        <f t="shared" ref="B8:G8" si="12">31053.67+1470.76</f>
        <v>32524.429999999997</v>
      </c>
      <c r="C8" s="11">
        <f t="shared" si="12"/>
        <v>32524.429999999997</v>
      </c>
      <c r="D8" s="11">
        <f t="shared" si="12"/>
        <v>32524.429999999997</v>
      </c>
      <c r="E8" s="11">
        <f t="shared" si="12"/>
        <v>32524.429999999997</v>
      </c>
      <c r="F8" s="11">
        <f t="shared" si="12"/>
        <v>32524.429999999997</v>
      </c>
      <c r="G8" s="11">
        <f t="shared" si="12"/>
        <v>32524.429999999997</v>
      </c>
      <c r="H8" s="11">
        <f t="shared" ref="H8:M8" si="13">31053.67+1470.76</f>
        <v>32524.429999999997</v>
      </c>
      <c r="I8" s="11">
        <f t="shared" si="13"/>
        <v>32524.429999999997</v>
      </c>
      <c r="J8" s="11">
        <f t="shared" si="13"/>
        <v>32524.429999999997</v>
      </c>
      <c r="K8" s="11">
        <f t="shared" si="13"/>
        <v>32524.429999999997</v>
      </c>
      <c r="L8" s="11">
        <f t="shared" si="13"/>
        <v>32524.429999999997</v>
      </c>
      <c r="M8" s="11">
        <f t="shared" si="13"/>
        <v>32524.429999999997</v>
      </c>
      <c r="N8" s="11">
        <f>SUM(B8:M8)</f>
        <v>390293.16</v>
      </c>
    </row>
    <row r="9" spans="1:18" ht="24.75" customHeight="1" thickBot="1" x14ac:dyDescent="0.3">
      <c r="A9" s="4" t="s">
        <v>16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466.21</v>
      </c>
      <c r="H9" s="11">
        <v>0</v>
      </c>
      <c r="I9" s="11">
        <v>2176.84</v>
      </c>
      <c r="J9" s="11">
        <v>2749.5</v>
      </c>
      <c r="K9" s="11">
        <v>4994</v>
      </c>
      <c r="L9" s="11">
        <v>0</v>
      </c>
      <c r="M9" s="11">
        <v>0</v>
      </c>
      <c r="N9" s="11">
        <f t="shared" ref="N9:N14" si="14">SUM(B9:M9)</f>
        <v>10386.549999999999</v>
      </c>
    </row>
    <row r="10" spans="1:18" ht="24.75" customHeight="1" thickBot="1" x14ac:dyDescent="0.3">
      <c r="A10" s="4" t="s">
        <v>17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f t="shared" si="14"/>
        <v>0</v>
      </c>
    </row>
    <row r="11" spans="1:18" ht="24.75" customHeight="1" thickBot="1" x14ac:dyDescent="0.3">
      <c r="A11" s="4" t="s">
        <v>18</v>
      </c>
      <c r="B11" s="11">
        <v>0</v>
      </c>
      <c r="C11" s="11">
        <v>856.79</v>
      </c>
      <c r="D11" s="11">
        <v>260.11</v>
      </c>
      <c r="E11" s="11">
        <v>1310.69</v>
      </c>
      <c r="F11" s="11">
        <v>1382.1</v>
      </c>
      <c r="G11" s="11">
        <v>0</v>
      </c>
      <c r="H11" s="11">
        <v>1570.8</v>
      </c>
      <c r="I11" s="11">
        <v>2296.23</v>
      </c>
      <c r="J11" s="11">
        <v>0</v>
      </c>
      <c r="K11" s="11">
        <v>0</v>
      </c>
      <c r="L11" s="11">
        <v>2507.5700000000002</v>
      </c>
      <c r="M11" s="11">
        <v>589.38</v>
      </c>
      <c r="N11" s="11">
        <f t="shared" si="14"/>
        <v>10773.669999999998</v>
      </c>
    </row>
    <row r="12" spans="1:18" ht="24.75" customHeight="1" thickBot="1" x14ac:dyDescent="0.3">
      <c r="A12" s="4" t="s">
        <v>24</v>
      </c>
      <c r="B12" s="11">
        <v>99.85</v>
      </c>
      <c r="C12" s="11">
        <v>87.52</v>
      </c>
      <c r="D12" s="11">
        <v>260.62</v>
      </c>
      <c r="E12" s="11">
        <v>238.02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259.81</v>
      </c>
      <c r="L12" s="11">
        <v>150.16999999999999</v>
      </c>
      <c r="M12" s="11">
        <v>486.22</v>
      </c>
      <c r="N12" s="11">
        <f t="shared" si="14"/>
        <v>1582.21</v>
      </c>
    </row>
    <row r="13" spans="1:18" ht="24.75" customHeight="1" thickBot="1" x14ac:dyDescent="0.3">
      <c r="A13" s="4" t="s">
        <v>42</v>
      </c>
      <c r="B13" s="11">
        <v>3801.6</v>
      </c>
      <c r="C13" s="11">
        <v>3801.6</v>
      </c>
      <c r="D13" s="11">
        <v>3801.6</v>
      </c>
      <c r="E13" s="11">
        <v>6318</v>
      </c>
      <c r="F13" s="11">
        <v>6318</v>
      </c>
      <c r="G13" s="11">
        <v>6318</v>
      </c>
      <c r="H13" s="11">
        <v>6318</v>
      </c>
      <c r="I13" s="11">
        <v>6318</v>
      </c>
      <c r="J13" s="11">
        <v>6318</v>
      </c>
      <c r="K13" s="11">
        <v>6318</v>
      </c>
      <c r="L13" s="11">
        <v>6318</v>
      </c>
      <c r="M13" s="11">
        <v>6318</v>
      </c>
      <c r="N13" s="11">
        <f t="shared" si="14"/>
        <v>68266.8</v>
      </c>
    </row>
    <row r="14" spans="1:18" ht="24.75" customHeight="1" thickBot="1" x14ac:dyDescent="0.3">
      <c r="A14" s="4" t="s">
        <v>14</v>
      </c>
      <c r="B14" s="11">
        <v>600</v>
      </c>
      <c r="C14" s="11">
        <v>600</v>
      </c>
      <c r="D14" s="11">
        <v>600</v>
      </c>
      <c r="E14" s="11">
        <v>600</v>
      </c>
      <c r="F14" s="11">
        <v>600</v>
      </c>
      <c r="G14" s="11">
        <v>600</v>
      </c>
      <c r="H14" s="11">
        <v>600</v>
      </c>
      <c r="I14" s="11">
        <v>600</v>
      </c>
      <c r="J14" s="11">
        <v>600</v>
      </c>
      <c r="K14" s="11">
        <v>600</v>
      </c>
      <c r="L14" s="11">
        <v>600</v>
      </c>
      <c r="M14" s="11">
        <v>600</v>
      </c>
      <c r="N14" s="11">
        <f t="shared" si="14"/>
        <v>7200</v>
      </c>
    </row>
    <row r="15" spans="1:18" ht="20.25" customHeight="1" thickBot="1" x14ac:dyDescent="0.3">
      <c r="A15" s="12" t="s">
        <v>8</v>
      </c>
      <c r="B15" s="13">
        <f t="shared" ref="B15:M15" si="15">SUM(B16:B22)</f>
        <v>34296.630000000005</v>
      </c>
      <c r="C15" s="13">
        <f t="shared" si="15"/>
        <v>37363.200000000004</v>
      </c>
      <c r="D15" s="13">
        <f t="shared" si="15"/>
        <v>54688.450000000004</v>
      </c>
      <c r="E15" s="13">
        <f t="shared" si="15"/>
        <v>39807.65</v>
      </c>
      <c r="F15" s="13">
        <f t="shared" si="15"/>
        <v>36415.980000000003</v>
      </c>
      <c r="G15" s="13">
        <f t="shared" si="15"/>
        <v>46174.71</v>
      </c>
      <c r="H15" s="13">
        <f t="shared" si="15"/>
        <v>37235.879999999997</v>
      </c>
      <c r="I15" s="13">
        <f t="shared" si="15"/>
        <v>56720.25</v>
      </c>
      <c r="J15" s="13">
        <f t="shared" si="15"/>
        <v>41049.600000000006</v>
      </c>
      <c r="K15" s="13">
        <f t="shared" si="15"/>
        <v>55330.349999999991</v>
      </c>
      <c r="L15" s="13">
        <f t="shared" si="15"/>
        <v>45958.200000000004</v>
      </c>
      <c r="M15" s="13">
        <f t="shared" si="15"/>
        <v>38470.21</v>
      </c>
      <c r="N15" s="13">
        <f>SUM(B15:M15)</f>
        <v>523511.11</v>
      </c>
    </row>
    <row r="16" spans="1:18" ht="24" customHeight="1" thickBot="1" x14ac:dyDescent="0.3">
      <c r="A16" s="4" t="s">
        <v>26</v>
      </c>
      <c r="B16" s="11">
        <f>26189.29+1242.36</f>
        <v>27431.65</v>
      </c>
      <c r="C16" s="11">
        <f>31458.72+1421.53</f>
        <v>32880.25</v>
      </c>
      <c r="D16" s="11">
        <f>46893.43+1448.37+587.58</f>
        <v>48929.380000000005</v>
      </c>
      <c r="E16" s="11">
        <f>32571.34+200+1384.99</f>
        <v>34156.329999999994</v>
      </c>
      <c r="F16" s="11">
        <f>28033.39+1281.38</f>
        <v>29314.77</v>
      </c>
      <c r="G16" s="11">
        <f>31932.92+1461.69</f>
        <v>33394.61</v>
      </c>
      <c r="H16" s="11">
        <f>28827.88+1351.37</f>
        <v>30179.25</v>
      </c>
      <c r="I16" s="11">
        <f>40654.83+3391.13</f>
        <v>44045.96</v>
      </c>
      <c r="J16" s="11">
        <f>29593.93+1343.46</f>
        <v>30937.39</v>
      </c>
      <c r="K16" s="11">
        <f>40709.99+2010.84</f>
        <v>42720.829999999994</v>
      </c>
      <c r="L16" s="11">
        <f>32233.46+1465.87</f>
        <v>33699.33</v>
      </c>
      <c r="M16" s="11">
        <f>27954.55+1277.41</f>
        <v>29231.96</v>
      </c>
      <c r="N16" s="11">
        <f>SUM(B16:M16)</f>
        <v>416921.71000000008</v>
      </c>
    </row>
    <row r="17" spans="1:15" ht="26.25" customHeight="1" thickBot="1" x14ac:dyDescent="0.3">
      <c r="A17" s="4" t="s">
        <v>16</v>
      </c>
      <c r="B17" s="11">
        <v>0.81</v>
      </c>
      <c r="C17" s="11">
        <v>13.88</v>
      </c>
      <c r="D17" s="11">
        <v>220.53</v>
      </c>
      <c r="E17" s="11">
        <v>32.99</v>
      </c>
      <c r="F17" s="11">
        <v>8.8000000000000007</v>
      </c>
      <c r="G17" s="11">
        <v>10.46</v>
      </c>
      <c r="H17" s="11">
        <v>425.85</v>
      </c>
      <c r="I17" s="11">
        <v>123.28</v>
      </c>
      <c r="J17" s="11">
        <v>1954.71</v>
      </c>
      <c r="K17" s="11">
        <v>2643.96</v>
      </c>
      <c r="L17" s="11">
        <v>4715.84</v>
      </c>
      <c r="M17" s="11">
        <v>11.69</v>
      </c>
      <c r="N17" s="11">
        <f t="shared" ref="N17:N22" si="16">SUM(B17:M17)</f>
        <v>10162.800000000001</v>
      </c>
    </row>
    <row r="18" spans="1:15" ht="26.25" customHeight="1" thickBot="1" x14ac:dyDescent="0.3">
      <c r="A18" s="4" t="s">
        <v>17</v>
      </c>
      <c r="B18" s="11">
        <v>0</v>
      </c>
      <c r="C18" s="11">
        <v>15.97</v>
      </c>
      <c r="D18" s="11">
        <v>9.43</v>
      </c>
      <c r="E18" s="11">
        <v>15.62</v>
      </c>
      <c r="F18" s="11">
        <v>10.29</v>
      </c>
      <c r="G18" s="11">
        <v>12.21</v>
      </c>
      <c r="H18" s="11">
        <v>12.07</v>
      </c>
      <c r="I18" s="11">
        <v>11.93</v>
      </c>
      <c r="J18" s="11">
        <v>12.76</v>
      </c>
      <c r="K18" s="11">
        <v>11.64</v>
      </c>
      <c r="L18" s="11">
        <v>11.48</v>
      </c>
      <c r="M18" s="11">
        <v>11.37</v>
      </c>
      <c r="N18" s="11">
        <f t="shared" si="16"/>
        <v>134.77000000000001</v>
      </c>
    </row>
    <row r="19" spans="1:15" ht="26.25" customHeight="1" thickBot="1" x14ac:dyDescent="0.3">
      <c r="A19" s="4" t="s">
        <v>18</v>
      </c>
      <c r="B19" s="11">
        <v>1663.97</v>
      </c>
      <c r="C19" s="11">
        <v>180.73</v>
      </c>
      <c r="D19" s="11">
        <v>1274.8900000000001</v>
      </c>
      <c r="E19" s="11">
        <v>359.47</v>
      </c>
      <c r="F19" s="11">
        <v>1170.6500000000001</v>
      </c>
      <c r="G19" s="11">
        <v>1379.75</v>
      </c>
      <c r="H19" s="11">
        <v>64.23</v>
      </c>
      <c r="I19" s="11">
        <v>1729.66</v>
      </c>
      <c r="J19" s="11">
        <v>2124.0500000000002</v>
      </c>
      <c r="K19" s="11">
        <v>455.87</v>
      </c>
      <c r="L19" s="11">
        <v>37.61</v>
      </c>
      <c r="M19" s="11">
        <v>2216.23</v>
      </c>
      <c r="N19" s="11">
        <f t="shared" si="16"/>
        <v>12657.110000000002</v>
      </c>
    </row>
    <row r="20" spans="1:15" ht="26.25" customHeight="1" thickBot="1" x14ac:dyDescent="0.3">
      <c r="A20" s="4" t="s">
        <v>24</v>
      </c>
      <c r="B20" s="11">
        <v>25.72</v>
      </c>
      <c r="C20" s="11">
        <v>97</v>
      </c>
      <c r="D20" s="11">
        <v>145.87</v>
      </c>
      <c r="E20" s="11">
        <v>252.44</v>
      </c>
      <c r="F20" s="11">
        <v>211.37</v>
      </c>
      <c r="G20" s="11">
        <v>17.22</v>
      </c>
      <c r="H20" s="11">
        <v>4.43</v>
      </c>
      <c r="I20" s="11">
        <v>44.13</v>
      </c>
      <c r="J20" s="11">
        <v>4.6900000000000004</v>
      </c>
      <c r="K20" s="11">
        <v>33.85</v>
      </c>
      <c r="L20" s="11">
        <v>249.44</v>
      </c>
      <c r="M20" s="11">
        <v>134.15</v>
      </c>
      <c r="N20" s="11">
        <f t="shared" si="16"/>
        <v>1220.3100000000002</v>
      </c>
    </row>
    <row r="21" spans="1:15" ht="26.25" customHeight="1" thickBot="1" x14ac:dyDescent="0.3">
      <c r="A21" s="4" t="s">
        <v>42</v>
      </c>
      <c r="B21" s="11">
        <v>3174.48</v>
      </c>
      <c r="C21" s="11">
        <v>3775.37</v>
      </c>
      <c r="D21" s="11">
        <v>3708.35</v>
      </c>
      <c r="E21" s="11">
        <v>4590.8</v>
      </c>
      <c r="F21" s="11">
        <v>5300.1</v>
      </c>
      <c r="G21" s="11">
        <v>10960.46</v>
      </c>
      <c r="H21" s="11">
        <v>5750.05</v>
      </c>
      <c r="I21" s="11">
        <v>10365.290000000001</v>
      </c>
      <c r="J21" s="11">
        <v>5616</v>
      </c>
      <c r="K21" s="11">
        <v>8464.2000000000007</v>
      </c>
      <c r="L21" s="11">
        <v>6844.5</v>
      </c>
      <c r="M21" s="11">
        <v>5264.81</v>
      </c>
      <c r="N21" s="11">
        <f t="shared" si="16"/>
        <v>73814.41</v>
      </c>
    </row>
    <row r="22" spans="1:15" ht="26.25" customHeight="1" thickBot="1" x14ac:dyDescent="0.3">
      <c r="A22" s="4" t="s">
        <v>14</v>
      </c>
      <c r="B22" s="14">
        <v>2000</v>
      </c>
      <c r="C22" s="14">
        <v>400</v>
      </c>
      <c r="D22" s="14">
        <v>400</v>
      </c>
      <c r="E22" s="14">
        <v>400</v>
      </c>
      <c r="F22" s="14">
        <v>400</v>
      </c>
      <c r="G22" s="14">
        <v>400</v>
      </c>
      <c r="H22" s="14">
        <v>800</v>
      </c>
      <c r="I22" s="14">
        <v>400</v>
      </c>
      <c r="J22" s="14">
        <v>400</v>
      </c>
      <c r="K22" s="11">
        <v>1000</v>
      </c>
      <c r="L22" s="11">
        <v>400</v>
      </c>
      <c r="M22" s="11">
        <v>1600</v>
      </c>
      <c r="N22" s="11">
        <f t="shared" si="16"/>
        <v>8600</v>
      </c>
      <c r="O22" s="3"/>
    </row>
    <row r="23" spans="1:15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 t="shared" ref="B24:M24" si="17">1532*0.6</f>
        <v>919.19999999999993</v>
      </c>
      <c r="C24" s="11">
        <f t="shared" si="17"/>
        <v>919.19999999999993</v>
      </c>
      <c r="D24" s="11">
        <f t="shared" si="17"/>
        <v>919.19999999999993</v>
      </c>
      <c r="E24" s="11">
        <f t="shared" si="17"/>
        <v>919.19999999999993</v>
      </c>
      <c r="F24" s="11">
        <f t="shared" si="17"/>
        <v>919.19999999999993</v>
      </c>
      <c r="G24" s="11">
        <f t="shared" si="17"/>
        <v>919.19999999999993</v>
      </c>
      <c r="H24" s="11">
        <f t="shared" si="17"/>
        <v>919.19999999999993</v>
      </c>
      <c r="I24" s="11">
        <f t="shared" si="17"/>
        <v>919.19999999999993</v>
      </c>
      <c r="J24" s="11">
        <f t="shared" si="17"/>
        <v>919.19999999999993</v>
      </c>
      <c r="K24" s="11">
        <f t="shared" si="17"/>
        <v>919.19999999999993</v>
      </c>
      <c r="L24" s="11">
        <f t="shared" si="17"/>
        <v>919.19999999999993</v>
      </c>
      <c r="M24" s="11">
        <f t="shared" si="17"/>
        <v>919.19999999999993</v>
      </c>
      <c r="N24" s="11">
        <f>SUM(B24:M24)</f>
        <v>11030.400000000001</v>
      </c>
    </row>
    <row r="25" spans="1:15" ht="22.5" customHeight="1" thickBot="1" x14ac:dyDescent="0.3">
      <c r="A25" s="4" t="s">
        <v>2</v>
      </c>
      <c r="B25" s="11">
        <f t="shared" ref="B25:M25" si="18">1532*0.17</f>
        <v>260.44</v>
      </c>
      <c r="C25" s="11">
        <f t="shared" si="18"/>
        <v>260.44</v>
      </c>
      <c r="D25" s="11">
        <f t="shared" si="18"/>
        <v>260.44</v>
      </c>
      <c r="E25" s="11">
        <f t="shared" si="18"/>
        <v>260.44</v>
      </c>
      <c r="F25" s="11">
        <f t="shared" si="18"/>
        <v>260.44</v>
      </c>
      <c r="G25" s="11">
        <f t="shared" si="18"/>
        <v>260.44</v>
      </c>
      <c r="H25" s="11">
        <f t="shared" si="18"/>
        <v>260.44</v>
      </c>
      <c r="I25" s="11">
        <f t="shared" si="18"/>
        <v>260.44</v>
      </c>
      <c r="J25" s="11">
        <f t="shared" si="18"/>
        <v>260.44</v>
      </c>
      <c r="K25" s="11">
        <f t="shared" si="18"/>
        <v>260.44</v>
      </c>
      <c r="L25" s="11">
        <f t="shared" si="18"/>
        <v>260.44</v>
      </c>
      <c r="M25" s="11">
        <f t="shared" si="18"/>
        <v>260.44</v>
      </c>
      <c r="N25" s="11">
        <f t="shared" ref="N25:N38" si="19">SUM(B25:M25)</f>
        <v>3125.28</v>
      </c>
    </row>
    <row r="26" spans="1:15" ht="21" customHeight="1" thickBot="1" x14ac:dyDescent="0.3">
      <c r="A26" s="4" t="s">
        <v>3</v>
      </c>
      <c r="B26" s="11">
        <f>36425.88*2.3%</f>
        <v>837.79523999999992</v>
      </c>
      <c r="C26" s="11">
        <f>37270.34*2.3%</f>
        <v>857.21781999999996</v>
      </c>
      <c r="D26" s="11">
        <f>36846.76*2.3%</f>
        <v>847.47548000000006</v>
      </c>
      <c r="E26" s="11">
        <f>40391.14*2.3%</f>
        <v>928.99621999999999</v>
      </c>
      <c r="F26" s="11">
        <f>40224.53*2.3%</f>
        <v>925.16418999999996</v>
      </c>
      <c r="G26" s="11">
        <f>39308.64*2.3%</f>
        <v>904.09871999999996</v>
      </c>
      <c r="H26" s="11">
        <f>40413.23*2.3%</f>
        <v>929.50429000000008</v>
      </c>
      <c r="I26" s="11">
        <f>43315.5*2.3%</f>
        <v>996.25649999999996</v>
      </c>
      <c r="J26" s="11">
        <f>41591.93*2.3%</f>
        <v>956.61438999999996</v>
      </c>
      <c r="K26" s="11">
        <f>44096.24*2.3%</f>
        <v>1014.2135199999999</v>
      </c>
      <c r="L26" s="11">
        <f>41500.17*2.3%</f>
        <v>954.50390999999991</v>
      </c>
      <c r="M26" s="11">
        <f>39918.03*2.3%</f>
        <v>918.11469</v>
      </c>
      <c r="N26" s="11">
        <f t="shared" si="19"/>
        <v>11069.954969999999</v>
      </c>
    </row>
    <row r="27" spans="1:15" ht="23.25" customHeight="1" thickBot="1" x14ac:dyDescent="0.3">
      <c r="A27" s="4" t="s">
        <v>4</v>
      </c>
      <c r="B27" s="11">
        <f>32296.63*3%</f>
        <v>968.89890000000003</v>
      </c>
      <c r="C27" s="11">
        <f>36963.2*3%</f>
        <v>1108.896</v>
      </c>
      <c r="D27" s="11">
        <f>54288.45*3%</f>
        <v>1628.6534999999999</v>
      </c>
      <c r="E27" s="11">
        <f>39407.65*3%</f>
        <v>1182.2294999999999</v>
      </c>
      <c r="F27" s="11">
        <f>36015.98*3%</f>
        <v>1080.4794000000002</v>
      </c>
      <c r="G27" s="11">
        <f>45774.71*3%</f>
        <v>1373.2412999999999</v>
      </c>
      <c r="H27" s="11">
        <f>36435.88*3%</f>
        <v>1093.0763999999999</v>
      </c>
      <c r="I27" s="11">
        <f>56320.25*3%</f>
        <v>1689.6074999999998</v>
      </c>
      <c r="J27" s="11">
        <f>40649.6*3%</f>
        <v>1219.4879999999998</v>
      </c>
      <c r="K27" s="11">
        <f>54330.35*3%</f>
        <v>1629.9105</v>
      </c>
      <c r="L27" s="11">
        <f>45558.2*3%</f>
        <v>1366.7459999999999</v>
      </c>
      <c r="M27" s="11">
        <f>36870.21*3%</f>
        <v>1106.1062999999999</v>
      </c>
      <c r="N27" s="11">
        <f t="shared" si="19"/>
        <v>15447.333299999997</v>
      </c>
    </row>
    <row r="28" spans="1:15" ht="23.25" customHeight="1" thickBot="1" x14ac:dyDescent="0.3">
      <c r="A28" s="4" t="s">
        <v>9</v>
      </c>
      <c r="B28" s="11">
        <f t="shared" ref="B28:M28" si="20">1532*9.7</f>
        <v>14860.4</v>
      </c>
      <c r="C28" s="11">
        <f t="shared" si="20"/>
        <v>14860.4</v>
      </c>
      <c r="D28" s="11">
        <f t="shared" si="20"/>
        <v>14860.4</v>
      </c>
      <c r="E28" s="11">
        <f t="shared" si="20"/>
        <v>14860.4</v>
      </c>
      <c r="F28" s="11">
        <f t="shared" si="20"/>
        <v>14860.4</v>
      </c>
      <c r="G28" s="11">
        <f t="shared" si="20"/>
        <v>14860.4</v>
      </c>
      <c r="H28" s="11">
        <f t="shared" si="20"/>
        <v>14860.4</v>
      </c>
      <c r="I28" s="11">
        <f t="shared" si="20"/>
        <v>14860.4</v>
      </c>
      <c r="J28" s="11">
        <f t="shared" si="20"/>
        <v>14860.4</v>
      </c>
      <c r="K28" s="11">
        <f t="shared" si="20"/>
        <v>14860.4</v>
      </c>
      <c r="L28" s="11">
        <f t="shared" si="20"/>
        <v>14860.4</v>
      </c>
      <c r="M28" s="11">
        <f t="shared" si="20"/>
        <v>14860.4</v>
      </c>
      <c r="N28" s="11">
        <f t="shared" si="19"/>
        <v>178324.79999999996</v>
      </c>
    </row>
    <row r="29" spans="1:15" ht="26.25" customHeight="1" thickBot="1" x14ac:dyDescent="0.3">
      <c r="A29" s="4" t="s">
        <v>19</v>
      </c>
      <c r="B29" s="11">
        <v>0</v>
      </c>
      <c r="C29" s="11">
        <v>0</v>
      </c>
      <c r="D29" s="11">
        <v>0</v>
      </c>
      <c r="E29" s="11">
        <v>0</v>
      </c>
      <c r="F29" s="11">
        <f>413.6+52.59</f>
        <v>466.19000000000005</v>
      </c>
      <c r="G29" s="11">
        <v>0</v>
      </c>
      <c r="H29" s="11">
        <f>1947.73+229.13</f>
        <v>2176.86</v>
      </c>
      <c r="I29" s="11">
        <f>2460.13+289.4</f>
        <v>2749.53</v>
      </c>
      <c r="J29" s="11">
        <f>4468.37+525.62</f>
        <v>4993.99</v>
      </c>
      <c r="K29" s="11">
        <v>0</v>
      </c>
      <c r="L29" s="11">
        <v>0</v>
      </c>
      <c r="M29" s="11">
        <v>0</v>
      </c>
      <c r="N29" s="11">
        <f t="shared" si="19"/>
        <v>10386.57</v>
      </c>
    </row>
    <row r="30" spans="1:15" ht="26.25" customHeight="1" thickBot="1" x14ac:dyDescent="0.3">
      <c r="A30" s="4" t="s">
        <v>20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 t="shared" si="19"/>
        <v>0</v>
      </c>
    </row>
    <row r="31" spans="1:15" ht="26.25" customHeight="1" thickBot="1" x14ac:dyDescent="0.3">
      <c r="A31" s="4" t="s">
        <v>21</v>
      </c>
      <c r="B31" s="11">
        <v>856.8</v>
      </c>
      <c r="C31" s="11">
        <v>260.10000000000002</v>
      </c>
      <c r="D31" s="11">
        <v>1310.7</v>
      </c>
      <c r="E31" s="11">
        <v>1382.1</v>
      </c>
      <c r="F31" s="11">
        <v>0</v>
      </c>
      <c r="G31" s="11">
        <v>1570.8</v>
      </c>
      <c r="H31" s="11">
        <v>2296.2800000000002</v>
      </c>
      <c r="I31" s="11">
        <v>0</v>
      </c>
      <c r="J31" s="11">
        <v>0</v>
      </c>
      <c r="K31" s="11">
        <v>2507.56</v>
      </c>
      <c r="L31" s="11">
        <v>589.36</v>
      </c>
      <c r="M31" s="11">
        <v>2435.2800000000002</v>
      </c>
      <c r="N31" s="11">
        <f t="shared" si="19"/>
        <v>13208.980000000001</v>
      </c>
    </row>
    <row r="32" spans="1:15" ht="26.25" customHeight="1" thickBot="1" x14ac:dyDescent="0.3">
      <c r="A32" s="4" t="s">
        <v>24</v>
      </c>
      <c r="B32" s="11">
        <v>87.54</v>
      </c>
      <c r="C32" s="11">
        <v>260.68</v>
      </c>
      <c r="D32" s="11">
        <v>238.04</v>
      </c>
      <c r="E32" s="11">
        <v>0</v>
      </c>
      <c r="F32" s="11">
        <v>0</v>
      </c>
      <c r="G32" s="11">
        <v>0</v>
      </c>
      <c r="H32" s="11">
        <v>349.84</v>
      </c>
      <c r="I32" s="11">
        <v>426.47</v>
      </c>
      <c r="J32" s="11">
        <f>0+259.81</f>
        <v>259.81</v>
      </c>
      <c r="K32" s="11">
        <v>150.16</v>
      </c>
      <c r="L32" s="11">
        <v>486.29</v>
      </c>
      <c r="M32" s="11">
        <v>366.66</v>
      </c>
      <c r="N32" s="11">
        <f t="shared" si="19"/>
        <v>2625.49</v>
      </c>
    </row>
    <row r="33" spans="1:14" ht="22.5" customHeight="1" thickBot="1" x14ac:dyDescent="0.3">
      <c r="A33" s="4" t="s">
        <v>6</v>
      </c>
      <c r="B33" s="11">
        <f t="shared" ref="B33:M33" si="21">1532*3.04</f>
        <v>4657.28</v>
      </c>
      <c r="C33" s="11">
        <f t="shared" si="21"/>
        <v>4657.28</v>
      </c>
      <c r="D33" s="11">
        <f t="shared" si="21"/>
        <v>4657.28</v>
      </c>
      <c r="E33" s="11">
        <f t="shared" si="21"/>
        <v>4657.28</v>
      </c>
      <c r="F33" s="11">
        <f t="shared" si="21"/>
        <v>4657.28</v>
      </c>
      <c r="G33" s="11">
        <f t="shared" si="21"/>
        <v>4657.28</v>
      </c>
      <c r="H33" s="11">
        <f t="shared" si="21"/>
        <v>4657.28</v>
      </c>
      <c r="I33" s="11">
        <f t="shared" si="21"/>
        <v>4657.28</v>
      </c>
      <c r="J33" s="11">
        <f t="shared" si="21"/>
        <v>4657.28</v>
      </c>
      <c r="K33" s="11">
        <f t="shared" si="21"/>
        <v>4657.28</v>
      </c>
      <c r="L33" s="11">
        <f t="shared" si="21"/>
        <v>4657.28</v>
      </c>
      <c r="M33" s="11">
        <f t="shared" si="21"/>
        <v>4657.28</v>
      </c>
      <c r="N33" s="11">
        <f t="shared" si="19"/>
        <v>55887.359999999993</v>
      </c>
    </row>
    <row r="34" spans="1:14" ht="25.2" customHeight="1" thickBot="1" x14ac:dyDescent="0.3">
      <c r="A34" s="4" t="s">
        <v>27</v>
      </c>
      <c r="B34" s="11">
        <v>233.61</v>
      </c>
      <c r="C34" s="11">
        <v>233.61</v>
      </c>
      <c r="D34" s="11">
        <v>233.61</v>
      </c>
      <c r="E34" s="11">
        <v>233.61</v>
      </c>
      <c r="F34" s="11">
        <v>233.61</v>
      </c>
      <c r="G34" s="11">
        <v>233.61</v>
      </c>
      <c r="H34" s="11">
        <v>233.61</v>
      </c>
      <c r="I34" s="11">
        <v>233.61</v>
      </c>
      <c r="J34" s="11">
        <v>233.61</v>
      </c>
      <c r="K34" s="11">
        <v>233.61</v>
      </c>
      <c r="L34" s="11">
        <v>233.61</v>
      </c>
      <c r="M34" s="11">
        <v>233.61</v>
      </c>
      <c r="N34" s="11">
        <f t="shared" si="19"/>
        <v>2803.3200000000011</v>
      </c>
    </row>
    <row r="35" spans="1:14" ht="21.75" customHeight="1" thickBot="1" x14ac:dyDescent="0.3">
      <c r="A35" s="4" t="s">
        <v>42</v>
      </c>
      <c r="B35" s="11">
        <v>0</v>
      </c>
      <c r="C35" s="11">
        <v>1866.14</v>
      </c>
      <c r="D35" s="11">
        <v>2151.7600000000002</v>
      </c>
      <c r="E35" s="11">
        <v>2113.85</v>
      </c>
      <c r="F35" s="11">
        <v>2617.56</v>
      </c>
      <c r="G35" s="11">
        <v>3021.06</v>
      </c>
      <c r="H35" s="11">
        <v>6247.32</v>
      </c>
      <c r="I35" s="11">
        <v>3277.03</v>
      </c>
      <c r="J35" s="11">
        <v>5908.7</v>
      </c>
      <c r="K35" s="11">
        <v>3201.2</v>
      </c>
      <c r="L35" s="11">
        <v>4823.9399999999996</v>
      </c>
      <c r="M35" s="11">
        <v>3902.15</v>
      </c>
      <c r="N35" s="11">
        <f t="shared" si="19"/>
        <v>39130.71</v>
      </c>
    </row>
    <row r="36" spans="1:14" ht="21.75" customHeight="1" thickBot="1" x14ac:dyDescent="0.3">
      <c r="A36" s="4" t="s">
        <v>43</v>
      </c>
      <c r="B36" s="11">
        <v>0</v>
      </c>
      <c r="C36" s="11">
        <f>982.34+426</f>
        <v>1408.3400000000001</v>
      </c>
      <c r="D36" s="11">
        <f>1132.61+491</f>
        <v>1623.61</v>
      </c>
      <c r="E36" s="11">
        <f>482+1112.51</f>
        <v>1594.51</v>
      </c>
      <c r="F36" s="11">
        <f>596+1377.24</f>
        <v>1973.24</v>
      </c>
      <c r="G36" s="11">
        <f>689+1590.03</f>
        <v>2279.0299999999997</v>
      </c>
      <c r="H36" s="11">
        <f>1425+3288.14</f>
        <v>4713.1399999999994</v>
      </c>
      <c r="I36" s="11">
        <f>748+1725.02</f>
        <v>2473.02</v>
      </c>
      <c r="J36" s="11">
        <f>1347+3109.59</f>
        <v>4456.59</v>
      </c>
      <c r="K36" s="11">
        <f>730+1684.8</f>
        <v>2414.8000000000002</v>
      </c>
      <c r="L36" s="11">
        <f>1101+2539.26</f>
        <v>3640.26</v>
      </c>
      <c r="M36" s="11">
        <f>889+2053.35</f>
        <v>2942.35</v>
      </c>
      <c r="N36" s="11">
        <f t="shared" si="19"/>
        <v>29518.89</v>
      </c>
    </row>
    <row r="37" spans="1:14" ht="22.5" customHeight="1" thickBot="1" x14ac:dyDescent="0.3">
      <c r="A37" s="4" t="s">
        <v>28</v>
      </c>
      <c r="B37" s="11">
        <f>900+500</f>
        <v>1400</v>
      </c>
      <c r="C37" s="11">
        <f t="shared" ref="C37:G37" si="22">900+500</f>
        <v>1400</v>
      </c>
      <c r="D37" s="11">
        <f t="shared" si="22"/>
        <v>1400</v>
      </c>
      <c r="E37" s="11">
        <f t="shared" si="22"/>
        <v>1400</v>
      </c>
      <c r="F37" s="11">
        <f t="shared" si="22"/>
        <v>1400</v>
      </c>
      <c r="G37" s="11">
        <f t="shared" si="22"/>
        <v>1400</v>
      </c>
      <c r="H37" s="11">
        <f t="shared" ref="H37:M37" si="23">900+500</f>
        <v>1400</v>
      </c>
      <c r="I37" s="11">
        <f t="shared" si="23"/>
        <v>1400</v>
      </c>
      <c r="J37" s="11">
        <f t="shared" si="23"/>
        <v>1400</v>
      </c>
      <c r="K37" s="11">
        <f t="shared" si="23"/>
        <v>1400</v>
      </c>
      <c r="L37" s="11">
        <f t="shared" si="23"/>
        <v>1400</v>
      </c>
      <c r="M37" s="11">
        <f t="shared" si="23"/>
        <v>1400</v>
      </c>
      <c r="N37" s="11">
        <f t="shared" si="19"/>
        <v>16800</v>
      </c>
    </row>
    <row r="38" spans="1:14" ht="24" customHeight="1" thickBot="1" x14ac:dyDescent="0.3">
      <c r="A38" s="4" t="s">
        <v>10</v>
      </c>
      <c r="B38" s="11">
        <v>0</v>
      </c>
      <c r="C38" s="11">
        <v>0</v>
      </c>
      <c r="D38" s="11">
        <f>315</f>
        <v>315</v>
      </c>
      <c r="E38" s="11">
        <f>105</f>
        <v>105</v>
      </c>
      <c r="F38" s="11">
        <f>1360+40606.53+1974.6</f>
        <v>43941.13</v>
      </c>
      <c r="G38" s="11">
        <f>1660.5</f>
        <v>1660.5</v>
      </c>
      <c r="H38" s="11">
        <v>0</v>
      </c>
      <c r="I38" s="11">
        <f>4049.3</f>
        <v>4049.3</v>
      </c>
      <c r="J38" s="11">
        <v>0</v>
      </c>
      <c r="K38" s="11">
        <f>125+1324.6+8247.8+2599.6+2599.6+7031.8</f>
        <v>21928.400000000001</v>
      </c>
      <c r="L38" s="11">
        <f>9449.3+974.6</f>
        <v>10423.9</v>
      </c>
      <c r="M38" s="11">
        <v>0</v>
      </c>
      <c r="N38" s="11">
        <f t="shared" si="19"/>
        <v>82423.23</v>
      </c>
    </row>
    <row r="39" spans="1:14" ht="22.5" customHeight="1" thickBot="1" x14ac:dyDescent="0.3">
      <c r="A39" s="9" t="s">
        <v>22</v>
      </c>
      <c r="B39" s="10">
        <f t="shared" ref="B39:N39" si="24">SUM(B24:B38)</f>
        <v>25081.96414</v>
      </c>
      <c r="C39" s="10">
        <f t="shared" si="24"/>
        <v>28092.303819999997</v>
      </c>
      <c r="D39" s="10">
        <f t="shared" si="24"/>
        <v>30446.168980000002</v>
      </c>
      <c r="E39" s="10">
        <f t="shared" si="24"/>
        <v>29637.615719999994</v>
      </c>
      <c r="F39" s="10">
        <f t="shared" si="24"/>
        <v>73334.693589999995</v>
      </c>
      <c r="G39" s="10">
        <f t="shared" si="24"/>
        <v>33139.660019999996</v>
      </c>
      <c r="H39" s="10">
        <f t="shared" si="24"/>
        <v>40136.950689999998</v>
      </c>
      <c r="I39" s="10">
        <f t="shared" si="24"/>
        <v>37992.144</v>
      </c>
      <c r="J39" s="10">
        <f t="shared" si="24"/>
        <v>40126.122390000004</v>
      </c>
      <c r="K39" s="10">
        <f t="shared" si="24"/>
        <v>55177.174019999999</v>
      </c>
      <c r="L39" s="10">
        <f t="shared" si="24"/>
        <v>44615.929909999999</v>
      </c>
      <c r="M39" s="10">
        <f t="shared" si="24"/>
        <v>34001.590989999997</v>
      </c>
      <c r="N39" s="10">
        <f t="shared" si="24"/>
        <v>471782.31826999999</v>
      </c>
    </row>
    <row r="40" spans="1:14" ht="23.25" customHeight="1" thickBot="1" x14ac:dyDescent="0.3">
      <c r="A40" s="4" t="s">
        <v>5</v>
      </c>
      <c r="B40" s="18">
        <f t="shared" ref="B40:N40" si="25">B15-B39</f>
        <v>9214.6658600000046</v>
      </c>
      <c r="C40" s="18">
        <f t="shared" si="25"/>
        <v>9270.896180000007</v>
      </c>
      <c r="D40" s="18">
        <f t="shared" si="25"/>
        <v>24242.281020000002</v>
      </c>
      <c r="E40" s="18">
        <f t="shared" si="25"/>
        <v>10170.034280000007</v>
      </c>
      <c r="F40" s="18">
        <f t="shared" si="25"/>
        <v>-36918.713589999992</v>
      </c>
      <c r="G40" s="18">
        <f t="shared" si="25"/>
        <v>13035.049980000003</v>
      </c>
      <c r="H40" s="18">
        <f t="shared" si="25"/>
        <v>-2901.0706900000005</v>
      </c>
      <c r="I40" s="18">
        <f t="shared" si="25"/>
        <v>18728.106</v>
      </c>
      <c r="J40" s="18">
        <f t="shared" si="25"/>
        <v>923.47761000000173</v>
      </c>
      <c r="K40" s="18">
        <f t="shared" si="25"/>
        <v>153.17597999999271</v>
      </c>
      <c r="L40" s="18">
        <f t="shared" si="25"/>
        <v>1342.2700900000054</v>
      </c>
      <c r="M40" s="18">
        <f t="shared" si="25"/>
        <v>4468.6190100000022</v>
      </c>
      <c r="N40" s="11">
        <f t="shared" si="25"/>
        <v>51728.791729999997</v>
      </c>
    </row>
    <row r="41" spans="1:14" ht="23.25" customHeight="1" thickBot="1" x14ac:dyDescent="0.3">
      <c r="A41" s="4" t="s">
        <v>7</v>
      </c>
      <c r="B41" s="14">
        <f>B5+B40</f>
        <v>-151995.01413999998</v>
      </c>
      <c r="C41" s="19">
        <f>B41+C40</f>
        <v>-142724.11795999997</v>
      </c>
      <c r="D41" s="19">
        <f>C41+D40</f>
        <v>-118481.83693999998</v>
      </c>
      <c r="E41" s="19">
        <f t="shared" ref="E41:G41" si="26">D41+E40</f>
        <v>-108311.80265999997</v>
      </c>
      <c r="F41" s="19">
        <f t="shared" si="26"/>
        <v>-145230.51624999996</v>
      </c>
      <c r="G41" s="19">
        <f t="shared" si="26"/>
        <v>-132195.46626999995</v>
      </c>
      <c r="H41" s="19">
        <f t="shared" ref="H41" si="27">G41+H40</f>
        <v>-135096.53695999994</v>
      </c>
      <c r="I41" s="19">
        <f t="shared" ref="I41" si="28">H41+I40</f>
        <v>-116368.43095999994</v>
      </c>
      <c r="J41" s="19">
        <f t="shared" ref="J41" si="29">I41+J40</f>
        <v>-115444.95334999994</v>
      </c>
      <c r="K41" s="19">
        <f t="shared" ref="K41" si="30">J41+K40</f>
        <v>-115291.77736999994</v>
      </c>
      <c r="L41" s="19">
        <f t="shared" ref="L41" si="31">K41+L40</f>
        <v>-113949.50727999993</v>
      </c>
      <c r="M41" s="19">
        <f t="shared" ref="M41" si="32">L41+M40</f>
        <v>-109480.88826999994</v>
      </c>
      <c r="N41" s="18">
        <f>N5+N40</f>
        <v>-109480.88827</v>
      </c>
    </row>
    <row r="42" spans="1:14" ht="23.25" customHeight="1" thickBot="1" x14ac:dyDescent="0.3">
      <c r="A42" s="4" t="s">
        <v>45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5556.46</v>
      </c>
      <c r="M42" s="11">
        <v>0</v>
      </c>
      <c r="N42" s="14">
        <f>SUM(B42:M42)</f>
        <v>5556.46</v>
      </c>
    </row>
    <row r="43" spans="1:14" ht="27" customHeight="1" thickBot="1" x14ac:dyDescent="0.3">
      <c r="A43" s="15" t="s">
        <v>11</v>
      </c>
      <c r="B43" s="20">
        <f t="shared" ref="B43:N43" si="33">B6+B15-B7</f>
        <v>-171067.68</v>
      </c>
      <c r="C43" s="20">
        <f t="shared" si="33"/>
        <v>-171574.81999999998</v>
      </c>
      <c r="D43" s="20">
        <f t="shared" si="33"/>
        <v>-154333.12999999995</v>
      </c>
      <c r="E43" s="20">
        <f t="shared" si="33"/>
        <v>-155516.61999999994</v>
      </c>
      <c r="F43" s="20">
        <f t="shared" si="33"/>
        <v>-159925.16999999993</v>
      </c>
      <c r="G43" s="20">
        <f t="shared" si="33"/>
        <v>-153659.09999999992</v>
      </c>
      <c r="H43" s="20">
        <f t="shared" si="33"/>
        <v>-157436.4499999999</v>
      </c>
      <c r="I43" s="20">
        <f t="shared" si="33"/>
        <v>-144631.6999999999</v>
      </c>
      <c r="J43" s="20">
        <f t="shared" si="33"/>
        <v>-145774.02999999988</v>
      </c>
      <c r="K43" s="20">
        <f t="shared" si="33"/>
        <v>-135139.91999999987</v>
      </c>
      <c r="L43" s="20">
        <f>L6-L7+L15+L42</f>
        <v>-125725.42999999983</v>
      </c>
      <c r="M43" s="20">
        <f t="shared" ref="M43:N43" si="34">M6-M7+M15+M42</f>
        <v>-127773.24999999985</v>
      </c>
      <c r="N43" s="20">
        <f t="shared" si="34"/>
        <v>-127773.24999999984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2025-03-04T08:25:22Z</cp:lastPrinted>
  <dcterms:created xsi:type="dcterms:W3CDTF">2011-06-06T03:25:48Z</dcterms:created>
  <dcterms:modified xsi:type="dcterms:W3CDTF">2025-03-04T08:41:04Z</dcterms:modified>
</cp:coreProperties>
</file>