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7496" windowHeight="1093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37" i="1" l="1"/>
  <c r="L37" i="1" l="1"/>
  <c r="K37" i="1" l="1"/>
  <c r="M27" i="1" l="1"/>
  <c r="M16" i="1"/>
  <c r="M26" i="1"/>
  <c r="M8" i="1"/>
  <c r="L27" i="1" l="1"/>
  <c r="L16" i="1"/>
  <c r="L26" i="1"/>
  <c r="L8" i="1"/>
  <c r="K27" i="1" l="1"/>
  <c r="K16" i="1"/>
  <c r="K26" i="1"/>
  <c r="K28" i="1"/>
  <c r="L28" i="1"/>
  <c r="M28" i="1"/>
  <c r="K8" i="1"/>
  <c r="K33" i="1" l="1"/>
  <c r="L33" i="1"/>
  <c r="M33" i="1"/>
  <c r="K25" i="1"/>
  <c r="L25" i="1"/>
  <c r="M25" i="1"/>
  <c r="K24" i="1"/>
  <c r="L24" i="1"/>
  <c r="M24" i="1"/>
  <c r="J37" i="1" l="1"/>
  <c r="I37" i="1" l="1"/>
  <c r="J29" i="1" l="1"/>
  <c r="H29" i="1"/>
  <c r="J27" i="1" l="1"/>
  <c r="J16" i="1"/>
  <c r="J26" i="1"/>
  <c r="J8" i="1"/>
  <c r="H37" i="1" l="1"/>
  <c r="I27" i="1" l="1"/>
  <c r="I16" i="1"/>
  <c r="I26" i="1"/>
  <c r="I8" i="1"/>
  <c r="H27" i="1" l="1"/>
  <c r="H16" i="1"/>
  <c r="H26" i="1"/>
  <c r="H8" i="1" l="1"/>
  <c r="H33" i="1"/>
  <c r="I33" i="1"/>
  <c r="J33" i="1"/>
  <c r="H28" i="1" l="1"/>
  <c r="I28" i="1"/>
  <c r="J28" i="1"/>
  <c r="H25" i="1"/>
  <c r="I25" i="1"/>
  <c r="J25" i="1"/>
  <c r="H24" i="1"/>
  <c r="I24" i="1"/>
  <c r="J24" i="1"/>
  <c r="F29" i="1" l="1"/>
  <c r="G37" i="1" l="1"/>
  <c r="F37" i="1" l="1"/>
  <c r="G27" i="1" l="1"/>
  <c r="G16" i="1"/>
  <c r="G26" i="1"/>
  <c r="G8" i="1"/>
  <c r="F27" i="1" l="1"/>
  <c r="F16" i="1"/>
  <c r="F26" i="1"/>
  <c r="F8" i="1"/>
  <c r="E27" i="1" l="1"/>
  <c r="E16" i="1"/>
  <c r="E26" i="1"/>
  <c r="D8" i="1"/>
  <c r="E8" i="1"/>
  <c r="E33" i="1" l="1"/>
  <c r="F33" i="1"/>
  <c r="G33" i="1"/>
  <c r="E28" i="1"/>
  <c r="F28" i="1"/>
  <c r="G28" i="1"/>
  <c r="E25" i="1"/>
  <c r="F25" i="1"/>
  <c r="G25" i="1"/>
  <c r="E24" i="1"/>
  <c r="F24" i="1"/>
  <c r="G24" i="1"/>
  <c r="B37" i="1" l="1"/>
  <c r="D27" i="1" l="1"/>
  <c r="D16" i="1"/>
  <c r="D26" i="1"/>
  <c r="C27" i="1" l="1"/>
  <c r="C16" i="1"/>
  <c r="C26" i="1"/>
  <c r="C8" i="1"/>
  <c r="B27" i="1" l="1"/>
  <c r="B16" i="1"/>
  <c r="B26" i="1"/>
  <c r="B8" i="1"/>
  <c r="C33" i="1"/>
  <c r="D33" i="1"/>
  <c r="C28" i="1"/>
  <c r="D28" i="1"/>
  <c r="C25" i="1"/>
  <c r="D25" i="1"/>
  <c r="C24" i="1"/>
  <c r="D24" i="1"/>
  <c r="B33" i="1" l="1"/>
  <c r="B28" i="1"/>
  <c r="B25" i="1"/>
  <c r="B24" i="1"/>
  <c r="N32" i="1" l="1"/>
  <c r="N33" i="1"/>
  <c r="N34" i="1"/>
  <c r="N14" i="1" l="1"/>
  <c r="N6" i="1" l="1"/>
  <c r="N5" i="1"/>
  <c r="L7" i="1" l="1"/>
  <c r="N8" i="1"/>
  <c r="N24" i="1"/>
  <c r="N25" i="1"/>
  <c r="N28" i="1"/>
  <c r="N29" i="1"/>
  <c r="N30" i="1"/>
  <c r="N31" i="1"/>
  <c r="N35" i="1"/>
  <c r="N36" i="1"/>
  <c r="N37" i="1"/>
  <c r="N17" i="1"/>
  <c r="N18" i="1"/>
  <c r="N19" i="1"/>
  <c r="N20" i="1"/>
  <c r="N21" i="1"/>
  <c r="N22" i="1"/>
  <c r="N16" i="1"/>
  <c r="K15" i="1"/>
  <c r="L15" i="1"/>
  <c r="M15" i="1"/>
  <c r="N9" i="1"/>
  <c r="N10" i="1"/>
  <c r="N11" i="1"/>
  <c r="N12" i="1"/>
  <c r="N13" i="1"/>
  <c r="K7" i="1"/>
  <c r="M7" i="1"/>
  <c r="M38" i="1" l="1"/>
  <c r="M39" i="1" s="1"/>
  <c r="L38" i="1"/>
  <c r="L39" i="1" s="1"/>
  <c r="N27" i="1"/>
  <c r="K38" i="1"/>
  <c r="C15" i="1"/>
  <c r="D15" i="1"/>
  <c r="D38" i="1" s="1"/>
  <c r="D39" i="1" s="1"/>
  <c r="E15" i="1"/>
  <c r="F15" i="1"/>
  <c r="G15" i="1"/>
  <c r="H15" i="1"/>
  <c r="I15" i="1"/>
  <c r="J15" i="1"/>
  <c r="G38" i="1" l="1"/>
  <c r="G39" i="1" s="1"/>
  <c r="J38" i="1"/>
  <c r="J39" i="1" s="1"/>
  <c r="K39" i="1"/>
  <c r="J7" i="1" l="1"/>
  <c r="I7" i="1"/>
  <c r="H7" i="1"/>
  <c r="I38" i="1" l="1"/>
  <c r="I39" i="1" s="1"/>
  <c r="H38" i="1" l="1"/>
  <c r="H39" i="1" l="1"/>
  <c r="N26" i="1"/>
  <c r="E7" i="1" l="1"/>
  <c r="F7" i="1"/>
  <c r="G7" i="1"/>
  <c r="D7" i="1"/>
  <c r="C7" i="1"/>
  <c r="B15" i="1"/>
  <c r="B7" i="1"/>
  <c r="B38" i="1" l="1"/>
  <c r="B39" i="1" s="1"/>
  <c r="B40" i="1" s="1"/>
  <c r="B41" i="1"/>
  <c r="C6" i="1" s="1"/>
  <c r="C41" i="1" s="1"/>
  <c r="N15" i="1"/>
  <c r="N7" i="1"/>
  <c r="E38" i="1"/>
  <c r="F38" i="1"/>
  <c r="F39" i="1" s="1"/>
  <c r="N41" i="1" l="1"/>
  <c r="E39" i="1"/>
  <c r="D6" i="1"/>
  <c r="D41" i="1" s="1"/>
  <c r="C38" i="1"/>
  <c r="C5" i="1"/>
  <c r="N38" i="1" l="1"/>
  <c r="E6" i="1"/>
  <c r="E41" i="1" s="1"/>
  <c r="F6" i="1" s="1"/>
  <c r="F41" i="1" s="1"/>
  <c r="C39" i="1"/>
  <c r="C40" i="1" s="1"/>
  <c r="D5" i="1" s="1"/>
  <c r="D40" i="1" s="1"/>
  <c r="N39" i="1" l="1"/>
  <c r="N40" i="1"/>
  <c r="G6" i="1"/>
  <c r="G41" i="1" s="1"/>
  <c r="E5" i="1"/>
  <c r="E40" i="1" s="1"/>
  <c r="H6" i="1" l="1"/>
  <c r="H41" i="1" s="1"/>
  <c r="F5" i="1"/>
  <c r="F40" i="1" s="1"/>
  <c r="I6" i="1" l="1"/>
  <c r="I41" i="1" s="1"/>
  <c r="G5" i="1"/>
  <c r="G40" i="1" s="1"/>
  <c r="J6" i="1" l="1"/>
  <c r="H5" i="1"/>
  <c r="H40" i="1" s="1"/>
  <c r="J41" i="1" l="1"/>
  <c r="K6" i="1" s="1"/>
  <c r="K41" i="1" s="1"/>
  <c r="L6" i="1" s="1"/>
  <c r="L41" i="1" s="1"/>
  <c r="M6" i="1" s="1"/>
  <c r="M41" i="1" s="1"/>
  <c r="I5" i="1"/>
  <c r="I40" i="1" s="1"/>
  <c r="J5" i="1" l="1"/>
  <c r="J40" i="1" s="1"/>
  <c r="K5" i="1" l="1"/>
  <c r="K40" i="1" l="1"/>
  <c r="L5" i="1" s="1"/>
  <c r="L40" i="1" l="1"/>
  <c r="M5" i="1" s="1"/>
  <c r="M40" i="1" s="1"/>
</calcChain>
</file>

<file path=xl/sharedStrings.xml><?xml version="1.0" encoding="utf-8"?>
<sst xmlns="http://schemas.openxmlformats.org/spreadsheetml/2006/main" count="52" uniqueCount="44">
  <si>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</si>
  <si>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</si>
  <si>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</si>
  <si>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</si>
  <si>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</si>
  <si>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</si>
  <si>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</si>
  <si>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</si>
  <si>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</si>
  <si>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</si>
  <si>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</si>
  <si>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</si>
  <si>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</si>
  <si>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</si>
  <si>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</si>
  <si>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</si>
  <si>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</si>
  <si>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</si>
  <si>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</si>
  <si>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</si>
  <si>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</si>
  <si>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</si>
  <si>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</si>
  <si>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</si>
  <si>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</si>
  <si>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</si>
  <si>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узла учета теплоэнергии</t>
  </si>
  <si>
    <t xml:space="preserve">Содержание жилья и текущий ремонт,  ОПУ </t>
  </si>
  <si>
    <t>Содержание жилья и текущий ремонт,  ОПУ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</si>
  <si>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</si>
  <si>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</si>
  <si>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</si>
  <si>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</si>
  <si>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</si>
  <si>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</si>
  <si>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</si>
  <si>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</si>
  <si>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</si>
  <si>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</si>
  <si>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</si>
  <si>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</si>
  <si>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2024г.</t>
  </si>
  <si>
    <t>Вознаграждение совета МКД</t>
  </si>
  <si>
    <t xml:space="preserve">                 ОТЧЕТ по дому Липового, 80/1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</si>
</sst>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164" fontId="5" fillId="0" borderId="6" xfId="0" applyNumberFormat="1" applyFont="1" applyBorder="1" applyAlignment="1">
      <alignment horizontal="left" vertical="top" wrapText="1"/>
    </xf>
    <xf numFmtId="164" fontId="5" fillId="0" borderId="7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topLeftCell="A4" zoomScale="75" workbookViewId="0">
      <selection activeCell="A4" sqref="A1:I1048576"/>
    </sheetView>
  </sheetViews>
  <sheetFormatPr defaultRowHeight="13.2" x14ac:dyDescent="0.25"/>
  <cols>
    <col min="1" max="1" width="58.6640625" customWidth="1"/>
    <col min="2" max="2" width="14.109375" customWidth="1"/>
    <col min="3" max="3" width="13.44140625" customWidth="1"/>
    <col min="4" max="4" width="14.33203125" customWidth="1"/>
    <col min="5" max="5" width="13.5546875" customWidth="1"/>
    <col min="6" max="6" width="13.6640625" customWidth="1"/>
    <col min="7" max="7" width="13.88671875" customWidth="1"/>
    <col min="8" max="8" width="14.44140625" customWidth="1"/>
    <col min="9" max="13" width="13.88671875" customWidth="1"/>
    <col min="14" max="14" width="15.88671875" customWidth="1"/>
  </cols>
  <sheetData>
    <row r="1" spans="1:18" ht="20.25" customHeight="1" x14ac:dyDescent="0.35">
      <c r="A1" s="20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6" t="s">
        <v>0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</row>
    <row r="5" spans="1:18" ht="23.25" customHeight="1" thickBot="1" x14ac:dyDescent="0.3">
      <c r="A5" s="8" t="s">
        <v>16</v>
      </c>
      <c r="B5" s="9">
        <v>-481277.74</v>
      </c>
      <c r="C5" s="9">
        <f t="shared" ref="C5:D6" si="0">B40</f>
        <v>-452988.38309999998</v>
      </c>
      <c r="D5" s="9">
        <f t="shared" si="0"/>
        <v>-428338.32414999994</v>
      </c>
      <c r="E5" s="9">
        <f t="shared" ref="E5:E6" si="1">D40</f>
        <v>-415935.57109999994</v>
      </c>
      <c r="F5" s="9">
        <f t="shared" ref="F5:F6" si="2">E40</f>
        <v>-407590.09211999993</v>
      </c>
      <c r="G5" s="9">
        <f t="shared" ref="G5:G6" si="3">F40</f>
        <v>-416718.32283999992</v>
      </c>
      <c r="H5" s="9">
        <f t="shared" ref="H5:H6" si="4">G40</f>
        <v>-411419.36503999995</v>
      </c>
      <c r="I5" s="9">
        <f t="shared" ref="I5:I6" si="5">H40</f>
        <v>-402430.54533999995</v>
      </c>
      <c r="J5" s="9">
        <f t="shared" ref="J5:J6" si="6">I40</f>
        <v>-473179.47918999993</v>
      </c>
      <c r="K5" s="9">
        <f t="shared" ref="K5:K6" si="7">J40</f>
        <v>-479602.22114999994</v>
      </c>
      <c r="L5" s="9">
        <f t="shared" ref="L5:L6" si="8">K40</f>
        <v>-483348.34038999991</v>
      </c>
      <c r="M5" s="9">
        <f t="shared" ref="M5:M6" si="9">L40</f>
        <v>-539949.56746999989</v>
      </c>
      <c r="N5" s="9">
        <f>B5</f>
        <v>-481277.74</v>
      </c>
    </row>
    <row r="6" spans="1:18" ht="21" customHeight="1" thickBot="1" x14ac:dyDescent="0.3">
      <c r="A6" s="8" t="s">
        <v>13</v>
      </c>
      <c r="B6" s="9">
        <v>-188345.4</v>
      </c>
      <c r="C6" s="9">
        <f t="shared" si="0"/>
        <v>-180686.82</v>
      </c>
      <c r="D6" s="9">
        <f t="shared" si="0"/>
        <v>-181358.85</v>
      </c>
      <c r="E6" s="9">
        <f t="shared" si="1"/>
        <v>-176279.03000000003</v>
      </c>
      <c r="F6" s="9">
        <f t="shared" si="2"/>
        <v>-181336.38</v>
      </c>
      <c r="G6" s="9">
        <f t="shared" si="3"/>
        <v>-192065.73</v>
      </c>
      <c r="H6" s="9">
        <f t="shared" si="4"/>
        <v>-201468.10000000003</v>
      </c>
      <c r="I6" s="9">
        <f t="shared" si="5"/>
        <v>-209857.23</v>
      </c>
      <c r="J6" s="9">
        <f t="shared" si="6"/>
        <v>-211759.13999999998</v>
      </c>
      <c r="K6" s="9">
        <f t="shared" si="7"/>
        <v>-216920.19999999995</v>
      </c>
      <c r="L6" s="9">
        <f t="shared" si="8"/>
        <v>-221511.84999999995</v>
      </c>
      <c r="M6" s="9">
        <f t="shared" si="9"/>
        <v>-222569.22999999992</v>
      </c>
      <c r="N6" s="9">
        <f>B6</f>
        <v>-188345.4</v>
      </c>
    </row>
    <row r="7" spans="1:18" ht="20.25" customHeight="1" thickBot="1" x14ac:dyDescent="0.3">
      <c r="A7" s="10" t="s">
        <v>12</v>
      </c>
      <c r="B7" s="11">
        <f>SUM(B8:B14)</f>
        <v>75446.900000000009</v>
      </c>
      <c r="C7" s="11">
        <f>SUM(C8:C14)</f>
        <v>76278.150000000009</v>
      </c>
      <c r="D7" s="11">
        <f>SUM(D8:D14)</f>
        <v>59494.95</v>
      </c>
      <c r="E7" s="11">
        <f t="shared" ref="E7:G7" si="10">SUM(E8:E14)</f>
        <v>68819.839999999997</v>
      </c>
      <c r="F7" s="11">
        <f t="shared" si="10"/>
        <v>71874.740000000005</v>
      </c>
      <c r="G7" s="11">
        <f t="shared" si="10"/>
        <v>74456.100000000006</v>
      </c>
      <c r="H7" s="11">
        <f>SUM(H8:H14)</f>
        <v>69891.399999999994</v>
      </c>
      <c r="I7" s="11">
        <f>SUM(I8:I14)</f>
        <v>68144.549999999988</v>
      </c>
      <c r="J7" s="11">
        <f>SUM(J8:J14)</f>
        <v>67715.92</v>
      </c>
      <c r="K7" s="11">
        <f t="shared" ref="K7:M7" si="11">SUM(K8:K14)</f>
        <v>68816.579999999987</v>
      </c>
      <c r="L7" s="11">
        <f t="shared" si="11"/>
        <v>73020.159999999989</v>
      </c>
      <c r="M7" s="11">
        <f t="shared" si="11"/>
        <v>69860.83</v>
      </c>
      <c r="N7" s="11">
        <f>SUM(B7:M7)</f>
        <v>843820.11999999988</v>
      </c>
    </row>
    <row r="8" spans="1:18" ht="21" customHeight="1" thickBot="1" x14ac:dyDescent="0.3">
      <c r="A8" s="3" t="s">
        <v>27</v>
      </c>
      <c r="B8" s="12">
        <f t="shared" ref="B8:G8" si="12">64842.1+1388.31</f>
        <v>66230.41</v>
      </c>
      <c r="C8" s="12">
        <f t="shared" si="12"/>
        <v>66230.41</v>
      </c>
      <c r="D8" s="12">
        <f t="shared" si="12"/>
        <v>66230.41</v>
      </c>
      <c r="E8" s="12">
        <f t="shared" si="12"/>
        <v>66230.41</v>
      </c>
      <c r="F8" s="12">
        <f t="shared" si="12"/>
        <v>66230.41</v>
      </c>
      <c r="G8" s="12">
        <f t="shared" si="12"/>
        <v>66230.41</v>
      </c>
      <c r="H8" s="12">
        <f>1388.31+64842.1</f>
        <v>66230.41</v>
      </c>
      <c r="I8" s="12">
        <f>64842.1+1388.31</f>
        <v>66230.41</v>
      </c>
      <c r="J8" s="12">
        <f>64842.1+1388.31</f>
        <v>66230.41</v>
      </c>
      <c r="K8" s="12">
        <f>64842.1+1388.31</f>
        <v>66230.41</v>
      </c>
      <c r="L8" s="12">
        <f>64842.1+1388.31</f>
        <v>66230.41</v>
      </c>
      <c r="M8" s="12">
        <f>64842.1+1388.31</f>
        <v>66230.41</v>
      </c>
      <c r="N8" s="12">
        <f>SUM(B8:M8)</f>
        <v>794764.92000000027</v>
      </c>
    </row>
    <row r="9" spans="1:18" ht="21" customHeight="1" thickBot="1" x14ac:dyDescent="0.3">
      <c r="A9" s="3" t="s">
        <v>17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1556.23</v>
      </c>
      <c r="H9" s="12">
        <v>0</v>
      </c>
      <c r="I9" s="12">
        <v>61.68</v>
      </c>
      <c r="J9" s="12">
        <v>0</v>
      </c>
      <c r="K9" s="12">
        <v>1784.5</v>
      </c>
      <c r="L9" s="12">
        <v>-204.69</v>
      </c>
      <c r="M9" s="12">
        <v>0</v>
      </c>
      <c r="N9" s="12">
        <f t="shared" ref="N9:N14" si="13">SUM(B9:M9)</f>
        <v>3197.72</v>
      </c>
    </row>
    <row r="10" spans="1:18" ht="21" customHeight="1" thickBot="1" x14ac:dyDescent="0.3">
      <c r="A10" s="3" t="s">
        <v>18</v>
      </c>
      <c r="B10" s="12">
        <v>215.44</v>
      </c>
      <c r="C10" s="12">
        <v>215.44</v>
      </c>
      <c r="D10" s="12">
        <v>215.44</v>
      </c>
      <c r="E10" s="12">
        <v>215.44</v>
      </c>
      <c r="F10" s="12">
        <v>215.44</v>
      </c>
      <c r="G10" s="12">
        <v>215.44</v>
      </c>
      <c r="H10" s="12">
        <v>238.04</v>
      </c>
      <c r="I10" s="12">
        <v>238.04</v>
      </c>
      <c r="J10" s="12">
        <v>238.04</v>
      </c>
      <c r="K10" s="12">
        <v>238.04</v>
      </c>
      <c r="L10" s="12">
        <v>238.04</v>
      </c>
      <c r="M10" s="12">
        <v>238.04</v>
      </c>
      <c r="N10" s="12">
        <f t="shared" si="13"/>
        <v>2720.88</v>
      </c>
    </row>
    <row r="11" spans="1:18" ht="21" customHeight="1" thickBot="1" x14ac:dyDescent="0.3">
      <c r="A11" s="3" t="s">
        <v>19</v>
      </c>
      <c r="B11" s="12">
        <v>1193.46</v>
      </c>
      <c r="C11" s="12">
        <v>2024.71</v>
      </c>
      <c r="D11" s="12">
        <v>25.51</v>
      </c>
      <c r="E11" s="12">
        <v>1958.4</v>
      </c>
      <c r="F11" s="12">
        <v>5013.3</v>
      </c>
      <c r="G11" s="12">
        <v>6038.43</v>
      </c>
      <c r="H11" s="12">
        <v>2942.75</v>
      </c>
      <c r="I11" s="12">
        <v>1134.22</v>
      </c>
      <c r="J11" s="12">
        <v>767.27</v>
      </c>
      <c r="K11" s="12">
        <v>83.43</v>
      </c>
      <c r="L11" s="12">
        <v>6516.29</v>
      </c>
      <c r="M11" s="12">
        <v>4703.7700000000004</v>
      </c>
      <c r="N11" s="12">
        <f t="shared" si="13"/>
        <v>32401.540000000005</v>
      </c>
    </row>
    <row r="12" spans="1:18" ht="21" customHeight="1" thickBot="1" x14ac:dyDescent="0.3">
      <c r="A12" s="3" t="s">
        <v>25</v>
      </c>
      <c r="B12" s="12">
        <v>415.59</v>
      </c>
      <c r="C12" s="12">
        <v>415.59</v>
      </c>
      <c r="D12" s="12">
        <v>415.59</v>
      </c>
      <c r="E12" s="12">
        <v>415.59</v>
      </c>
      <c r="F12" s="12">
        <v>415.59</v>
      </c>
      <c r="G12" s="12">
        <v>415.59</v>
      </c>
      <c r="H12" s="12">
        <v>480.2</v>
      </c>
      <c r="I12" s="12">
        <v>480.2</v>
      </c>
      <c r="J12" s="12">
        <v>480.2</v>
      </c>
      <c r="K12" s="12">
        <v>480.2</v>
      </c>
      <c r="L12" s="12">
        <v>240.11</v>
      </c>
      <c r="M12" s="12">
        <v>-1311.39</v>
      </c>
      <c r="N12" s="12">
        <f t="shared" si="13"/>
        <v>3343.0599999999986</v>
      </c>
    </row>
    <row r="13" spans="1:18" ht="21" customHeight="1" thickBot="1" x14ac:dyDescent="0.3">
      <c r="A13" s="3" t="s">
        <v>42</v>
      </c>
      <c r="B13" s="12">
        <v>7392</v>
      </c>
      <c r="C13" s="12">
        <v>7392</v>
      </c>
      <c r="D13" s="12">
        <v>-7392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f t="shared" si="13"/>
        <v>7392</v>
      </c>
    </row>
    <row r="14" spans="1:18" ht="21" hidden="1" customHeight="1" thickBot="1" x14ac:dyDescent="0.3">
      <c r="A14" s="3" t="s">
        <v>15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>
        <f t="shared" si="13"/>
        <v>0</v>
      </c>
    </row>
    <row r="15" spans="1:18" ht="20.25" customHeight="1" thickBot="1" x14ac:dyDescent="0.3">
      <c r="A15" s="13" t="s">
        <v>8</v>
      </c>
      <c r="B15" s="14">
        <f>SUM(B16:B22)</f>
        <v>83105.48</v>
      </c>
      <c r="C15" s="14">
        <f t="shared" ref="C15:M15" si="14">SUM(C16:C22)</f>
        <v>75606.12000000001</v>
      </c>
      <c r="D15" s="14">
        <f t="shared" si="14"/>
        <v>64574.77</v>
      </c>
      <c r="E15" s="14">
        <f t="shared" si="14"/>
        <v>63762.490000000005</v>
      </c>
      <c r="F15" s="14">
        <f t="shared" si="14"/>
        <v>61145.39</v>
      </c>
      <c r="G15" s="14">
        <f t="shared" si="14"/>
        <v>65053.729999999996</v>
      </c>
      <c r="H15" s="14">
        <f t="shared" si="14"/>
        <v>61502.270000000004</v>
      </c>
      <c r="I15" s="14">
        <f t="shared" si="14"/>
        <v>66242.640000000014</v>
      </c>
      <c r="J15" s="14">
        <f t="shared" si="14"/>
        <v>62554.86</v>
      </c>
      <c r="K15" s="14">
        <f t="shared" si="14"/>
        <v>64224.93</v>
      </c>
      <c r="L15" s="14">
        <f t="shared" si="14"/>
        <v>71962.78</v>
      </c>
      <c r="M15" s="14">
        <f t="shared" si="14"/>
        <v>69181.889999999985</v>
      </c>
      <c r="N15" s="14">
        <f>SUM(B15:M15)</f>
        <v>808917.35000000009</v>
      </c>
    </row>
    <row r="16" spans="1:18" ht="24" customHeight="1" thickBot="1" x14ac:dyDescent="0.3">
      <c r="A16" s="3" t="s">
        <v>28</v>
      </c>
      <c r="B16" s="12">
        <f>67091.3+1520.68</f>
        <v>68611.98</v>
      </c>
      <c r="C16" s="12">
        <f>64307.26+1335.66</f>
        <v>65642.92</v>
      </c>
      <c r="D16" s="12">
        <f>1291.32+60348.28</f>
        <v>61639.6</v>
      </c>
      <c r="E16" s="12">
        <f>61595.33+1341.41</f>
        <v>62936.740000000005</v>
      </c>
      <c r="F16" s="12">
        <f>57636.45+1234.07</f>
        <v>58870.52</v>
      </c>
      <c r="G16" s="12">
        <f>58776+1258.43</f>
        <v>60034.43</v>
      </c>
      <c r="H16" s="12">
        <f>1146.94+53593.11</f>
        <v>54740.05</v>
      </c>
      <c r="I16" s="12">
        <f>61111+1358.36</f>
        <v>62469.36</v>
      </c>
      <c r="J16" s="12">
        <f>59316.49+1265.39</f>
        <v>60581.88</v>
      </c>
      <c r="K16" s="12">
        <f>61170.36+1396.01+66.73</f>
        <v>62633.100000000006</v>
      </c>
      <c r="L16" s="12">
        <f>67479.24+1412.84</f>
        <v>68892.08</v>
      </c>
      <c r="M16" s="12">
        <f>61564.1+1345.34</f>
        <v>62909.439999999995</v>
      </c>
      <c r="N16" s="12">
        <f>SUM(B16:M16)</f>
        <v>749962.09999999986</v>
      </c>
    </row>
    <row r="17" spans="1:14" ht="24" customHeight="1" thickBot="1" x14ac:dyDescent="0.3">
      <c r="A17" s="3" t="s">
        <v>17</v>
      </c>
      <c r="B17" s="12">
        <v>1.41</v>
      </c>
      <c r="C17" s="12">
        <v>0.56999999999999995</v>
      </c>
      <c r="D17" s="12">
        <v>0</v>
      </c>
      <c r="E17" s="12">
        <v>0.36</v>
      </c>
      <c r="F17" s="12">
        <v>0</v>
      </c>
      <c r="G17" s="12">
        <v>0</v>
      </c>
      <c r="H17" s="12">
        <v>1264.06</v>
      </c>
      <c r="I17" s="12">
        <v>98.21</v>
      </c>
      <c r="J17" s="12">
        <v>76.41</v>
      </c>
      <c r="K17" s="12">
        <v>16.93</v>
      </c>
      <c r="L17" s="12">
        <v>1783.74</v>
      </c>
      <c r="M17" s="12">
        <v>52.16</v>
      </c>
      <c r="N17" s="12">
        <f t="shared" ref="N17:N22" si="15">SUM(B17:M17)</f>
        <v>3293.85</v>
      </c>
    </row>
    <row r="18" spans="1:14" ht="24" customHeight="1" thickBot="1" x14ac:dyDescent="0.3">
      <c r="A18" s="3" t="s">
        <v>18</v>
      </c>
      <c r="B18" s="12">
        <v>844.43</v>
      </c>
      <c r="C18" s="12">
        <v>275.24</v>
      </c>
      <c r="D18" s="12">
        <v>196.99</v>
      </c>
      <c r="E18" s="12">
        <v>246.85</v>
      </c>
      <c r="F18" s="12">
        <v>191.49</v>
      </c>
      <c r="G18" s="12">
        <v>195.27</v>
      </c>
      <c r="H18" s="12">
        <v>178.05</v>
      </c>
      <c r="I18" s="12">
        <v>222.51</v>
      </c>
      <c r="J18" s="12">
        <v>256.76</v>
      </c>
      <c r="K18" s="12">
        <v>238.74</v>
      </c>
      <c r="L18" s="12">
        <v>272.73</v>
      </c>
      <c r="M18" s="12">
        <v>224.7</v>
      </c>
      <c r="N18" s="12">
        <f t="shared" si="15"/>
        <v>3343.7599999999998</v>
      </c>
    </row>
    <row r="19" spans="1:14" ht="24" customHeight="1" thickBot="1" x14ac:dyDescent="0.3">
      <c r="A19" s="3" t="s">
        <v>19</v>
      </c>
      <c r="B19" s="12">
        <v>5397.18</v>
      </c>
      <c r="C19" s="12">
        <v>1509.91</v>
      </c>
      <c r="D19" s="12">
        <v>1830.16</v>
      </c>
      <c r="E19" s="12">
        <v>141.47999999999999</v>
      </c>
      <c r="F19" s="12">
        <v>1713.97</v>
      </c>
      <c r="G19" s="12">
        <v>4447.32</v>
      </c>
      <c r="H19" s="12">
        <v>4976.62</v>
      </c>
      <c r="I19" s="12">
        <v>3005.24</v>
      </c>
      <c r="J19" s="12">
        <v>1175</v>
      </c>
      <c r="K19" s="12">
        <v>876.38</v>
      </c>
      <c r="L19" s="12">
        <v>465.01</v>
      </c>
      <c r="M19" s="12">
        <v>5764.94</v>
      </c>
      <c r="N19" s="12">
        <f t="shared" si="15"/>
        <v>31303.209999999995</v>
      </c>
    </row>
    <row r="20" spans="1:14" ht="24" customHeight="1" thickBot="1" x14ac:dyDescent="0.3">
      <c r="A20" s="3" t="s">
        <v>25</v>
      </c>
      <c r="B20" s="12">
        <v>998.37</v>
      </c>
      <c r="C20" s="12">
        <v>468.68</v>
      </c>
      <c r="D20" s="12">
        <v>380.02</v>
      </c>
      <c r="E20" s="12">
        <v>437.06</v>
      </c>
      <c r="F20" s="12">
        <v>369.41</v>
      </c>
      <c r="G20" s="12">
        <v>376.71</v>
      </c>
      <c r="H20" s="12">
        <v>343.49</v>
      </c>
      <c r="I20" s="12">
        <v>447.32</v>
      </c>
      <c r="J20" s="12">
        <v>464.81</v>
      </c>
      <c r="K20" s="12">
        <v>459.78</v>
      </c>
      <c r="L20" s="12">
        <v>549.22</v>
      </c>
      <c r="M20" s="12">
        <v>230.65</v>
      </c>
      <c r="N20" s="12">
        <f t="shared" si="15"/>
        <v>5525.5199999999995</v>
      </c>
    </row>
    <row r="21" spans="1:14" ht="24" customHeight="1" thickBot="1" x14ac:dyDescent="0.3">
      <c r="A21" s="3" t="s">
        <v>42</v>
      </c>
      <c r="B21" s="12">
        <v>7252.11</v>
      </c>
      <c r="C21" s="12">
        <v>7708.8</v>
      </c>
      <c r="D21" s="12">
        <v>528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f t="shared" si="15"/>
        <v>15488.91</v>
      </c>
    </row>
    <row r="22" spans="1:14" ht="24" hidden="1" customHeight="1" thickBot="1" x14ac:dyDescent="0.3">
      <c r="A22" s="3" t="s">
        <v>15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>
        <f t="shared" si="15"/>
        <v>0</v>
      </c>
    </row>
    <row r="23" spans="1:14" ht="24" customHeight="1" thickBot="1" x14ac:dyDescent="0.3">
      <c r="A23" s="4" t="s">
        <v>24</v>
      </c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</row>
    <row r="24" spans="1:14" ht="24" customHeight="1" thickBot="1" x14ac:dyDescent="0.3">
      <c r="A24" s="3" t="s">
        <v>1</v>
      </c>
      <c r="B24" s="12">
        <f t="shared" ref="B24:M24" si="16">3386*0.6</f>
        <v>2031.6</v>
      </c>
      <c r="C24" s="12">
        <f t="shared" si="16"/>
        <v>2031.6</v>
      </c>
      <c r="D24" s="12">
        <f t="shared" si="16"/>
        <v>2031.6</v>
      </c>
      <c r="E24" s="12">
        <f t="shared" si="16"/>
        <v>2031.6</v>
      </c>
      <c r="F24" s="12">
        <f t="shared" si="16"/>
        <v>2031.6</v>
      </c>
      <c r="G24" s="12">
        <f t="shared" si="16"/>
        <v>2031.6</v>
      </c>
      <c r="H24" s="12">
        <f t="shared" si="16"/>
        <v>2031.6</v>
      </c>
      <c r="I24" s="12">
        <f t="shared" si="16"/>
        <v>2031.6</v>
      </c>
      <c r="J24" s="12">
        <f t="shared" si="16"/>
        <v>2031.6</v>
      </c>
      <c r="K24" s="12">
        <f t="shared" si="16"/>
        <v>2031.6</v>
      </c>
      <c r="L24" s="12">
        <f t="shared" si="16"/>
        <v>2031.6</v>
      </c>
      <c r="M24" s="12">
        <f t="shared" si="16"/>
        <v>2031.6</v>
      </c>
      <c r="N24" s="12">
        <f t="shared" ref="N24:N37" si="17">SUM(B24:M24)</f>
        <v>24379.199999999997</v>
      </c>
    </row>
    <row r="25" spans="1:14" ht="24" customHeight="1" thickBot="1" x14ac:dyDescent="0.3">
      <c r="A25" s="3" t="s">
        <v>2</v>
      </c>
      <c r="B25" s="12">
        <f t="shared" ref="B25:M25" si="18">3386*0.17</f>
        <v>575.62</v>
      </c>
      <c r="C25" s="12">
        <f t="shared" si="18"/>
        <v>575.62</v>
      </c>
      <c r="D25" s="12">
        <f t="shared" si="18"/>
        <v>575.62</v>
      </c>
      <c r="E25" s="12">
        <f t="shared" si="18"/>
        <v>575.62</v>
      </c>
      <c r="F25" s="12">
        <f t="shared" si="18"/>
        <v>575.62</v>
      </c>
      <c r="G25" s="12">
        <f t="shared" si="18"/>
        <v>575.62</v>
      </c>
      <c r="H25" s="12">
        <f t="shared" si="18"/>
        <v>575.62</v>
      </c>
      <c r="I25" s="12">
        <f t="shared" si="18"/>
        <v>575.62</v>
      </c>
      <c r="J25" s="12">
        <f t="shared" si="18"/>
        <v>575.62</v>
      </c>
      <c r="K25" s="12">
        <f t="shared" si="18"/>
        <v>575.62</v>
      </c>
      <c r="L25" s="12">
        <f t="shared" si="18"/>
        <v>575.62</v>
      </c>
      <c r="M25" s="12">
        <f t="shared" si="18"/>
        <v>575.62</v>
      </c>
      <c r="N25" s="12">
        <f t="shared" si="17"/>
        <v>6907.44</v>
      </c>
    </row>
    <row r="26" spans="1:14" ht="24" customHeight="1" thickBot="1" x14ac:dyDescent="0.3">
      <c r="A26" s="3" t="s">
        <v>3</v>
      </c>
      <c r="B26" s="12">
        <f>75446.9*2.3%</f>
        <v>1735.2786999999998</v>
      </c>
      <c r="C26" s="12">
        <f>76278.15*2.3%</f>
        <v>1754.3974499999999</v>
      </c>
      <c r="D26" s="12">
        <f>59494.95*2.3%</f>
        <v>1368.3838499999999</v>
      </c>
      <c r="E26" s="12">
        <f>68819.84*2.3%</f>
        <v>1582.8563199999999</v>
      </c>
      <c r="F26" s="12">
        <f>71874.74*2.3%</f>
        <v>1653.1190200000001</v>
      </c>
      <c r="G26" s="12">
        <f>74456.1*2.3%</f>
        <v>1712.4903000000002</v>
      </c>
      <c r="H26" s="12">
        <f>69891.4*2.3%</f>
        <v>1607.5021999999999</v>
      </c>
      <c r="I26" s="12">
        <f>68144.55*2.3%</f>
        <v>1567.32465</v>
      </c>
      <c r="J26" s="12">
        <f>67715.92*2.3%</f>
        <v>1557.4661599999999</v>
      </c>
      <c r="K26" s="12">
        <f>68816.58*2.3%</f>
        <v>1582.78134</v>
      </c>
      <c r="L26" s="12">
        <f>73020.16*2.3%</f>
        <v>1679.4636800000001</v>
      </c>
      <c r="M26" s="12">
        <f>69860.83*2.3%</f>
        <v>1606.79909</v>
      </c>
      <c r="N26" s="12">
        <f t="shared" si="17"/>
        <v>19407.86276</v>
      </c>
    </row>
    <row r="27" spans="1:14" ht="24" customHeight="1" thickBot="1" x14ac:dyDescent="0.3">
      <c r="A27" s="3" t="s">
        <v>4</v>
      </c>
      <c r="B27" s="12">
        <f>83105.48*3%</f>
        <v>2493.1643999999997</v>
      </c>
      <c r="C27" s="12">
        <f>75606.12*3%</f>
        <v>2268.1835999999998</v>
      </c>
      <c r="D27" s="12">
        <f>64574.77*3%</f>
        <v>1937.2430999999999</v>
      </c>
      <c r="E27" s="12">
        <f>63762.49*3%</f>
        <v>1912.8746999999998</v>
      </c>
      <c r="F27" s="12">
        <f>61145.39*3%</f>
        <v>1834.3616999999999</v>
      </c>
      <c r="G27" s="12">
        <f>65053.73*3%</f>
        <v>1951.6119000000001</v>
      </c>
      <c r="H27" s="12">
        <f>61502.27*3%</f>
        <v>1845.0680999999997</v>
      </c>
      <c r="I27" s="12">
        <f>66242.64*3%</f>
        <v>1987.2791999999999</v>
      </c>
      <c r="J27" s="12">
        <f>62554.86*3%</f>
        <v>1876.6458</v>
      </c>
      <c r="K27" s="12">
        <f>64224.93*3%</f>
        <v>1926.7478999999998</v>
      </c>
      <c r="L27" s="12">
        <f>71962.78*3%</f>
        <v>2158.8833999999997</v>
      </c>
      <c r="M27" s="12">
        <f>69181.89*3%</f>
        <v>2075.4566999999997</v>
      </c>
      <c r="N27" s="12">
        <f t="shared" si="17"/>
        <v>24267.520499999995</v>
      </c>
    </row>
    <row r="28" spans="1:14" ht="24" customHeight="1" thickBot="1" x14ac:dyDescent="0.3">
      <c r="A28" s="3" t="s">
        <v>9</v>
      </c>
      <c r="B28" s="12">
        <f t="shared" ref="B28:M28" si="19">3386*9.7</f>
        <v>32844.199999999997</v>
      </c>
      <c r="C28" s="12">
        <f t="shared" si="19"/>
        <v>32844.199999999997</v>
      </c>
      <c r="D28" s="12">
        <f t="shared" si="19"/>
        <v>32844.199999999997</v>
      </c>
      <c r="E28" s="12">
        <f t="shared" si="19"/>
        <v>32844.199999999997</v>
      </c>
      <c r="F28" s="12">
        <f t="shared" si="19"/>
        <v>32844.199999999997</v>
      </c>
      <c r="G28" s="12">
        <f t="shared" si="19"/>
        <v>32844.199999999997</v>
      </c>
      <c r="H28" s="12">
        <f t="shared" si="19"/>
        <v>32844.199999999997</v>
      </c>
      <c r="I28" s="12">
        <f t="shared" si="19"/>
        <v>32844.199999999997</v>
      </c>
      <c r="J28" s="12">
        <f t="shared" si="19"/>
        <v>32844.199999999997</v>
      </c>
      <c r="K28" s="12">
        <f t="shared" si="19"/>
        <v>32844.199999999997</v>
      </c>
      <c r="L28" s="12">
        <f t="shared" si="19"/>
        <v>32844.199999999997</v>
      </c>
      <c r="M28" s="12">
        <f t="shared" si="19"/>
        <v>32844.199999999997</v>
      </c>
      <c r="N28" s="12">
        <f t="shared" si="17"/>
        <v>394130.40000000008</v>
      </c>
    </row>
    <row r="29" spans="1:14" ht="24" customHeight="1" thickBot="1" x14ac:dyDescent="0.3">
      <c r="A29" s="3" t="s">
        <v>20</v>
      </c>
      <c r="B29" s="12">
        <v>0</v>
      </c>
      <c r="C29" s="12">
        <v>0</v>
      </c>
      <c r="D29" s="12">
        <v>0</v>
      </c>
      <c r="E29" s="12">
        <v>0</v>
      </c>
      <c r="F29" s="12">
        <f>1556.26+0</f>
        <v>1556.26</v>
      </c>
      <c r="G29" s="12">
        <v>0</v>
      </c>
      <c r="H29" s="12">
        <f>55.15+6.49</f>
        <v>61.64</v>
      </c>
      <c r="I29" s="12">
        <v>0</v>
      </c>
      <c r="J29" s="12">
        <f>1596.68+187.81</f>
        <v>1784.49</v>
      </c>
      <c r="K29" s="12">
        <v>0</v>
      </c>
      <c r="L29" s="12">
        <v>0</v>
      </c>
      <c r="M29" s="12">
        <v>0</v>
      </c>
      <c r="N29" s="12">
        <f t="shared" si="17"/>
        <v>3402.3900000000003</v>
      </c>
    </row>
    <row r="30" spans="1:14" ht="24" customHeight="1" thickBot="1" x14ac:dyDescent="0.3">
      <c r="A30" s="3" t="s">
        <v>21</v>
      </c>
      <c r="B30" s="12">
        <v>323.14999999999998</v>
      </c>
      <c r="C30" s="12">
        <v>323.14999999999998</v>
      </c>
      <c r="D30" s="12">
        <v>323.14999999999998</v>
      </c>
      <c r="E30" s="12">
        <v>323.14999999999998</v>
      </c>
      <c r="F30" s="12">
        <v>323.14999999999998</v>
      </c>
      <c r="G30" s="12">
        <v>323.14999999999998</v>
      </c>
      <c r="H30" s="12">
        <v>357.08</v>
      </c>
      <c r="I30" s="12">
        <v>357.08</v>
      </c>
      <c r="J30" s="12">
        <v>357.08</v>
      </c>
      <c r="K30" s="12">
        <v>357.08</v>
      </c>
      <c r="L30" s="12">
        <v>357.08</v>
      </c>
      <c r="M30" s="12">
        <v>357.08</v>
      </c>
      <c r="N30" s="12">
        <f t="shared" si="17"/>
        <v>4081.3799999999997</v>
      </c>
    </row>
    <row r="31" spans="1:14" ht="24" customHeight="1" thickBot="1" x14ac:dyDescent="0.3">
      <c r="A31" s="3" t="s">
        <v>22</v>
      </c>
      <c r="B31" s="12">
        <v>2024.7</v>
      </c>
      <c r="C31" s="12">
        <v>25.5</v>
      </c>
      <c r="D31" s="12">
        <v>1958.41</v>
      </c>
      <c r="E31" s="12">
        <v>5013.3</v>
      </c>
      <c r="F31" s="12">
        <v>6038.4</v>
      </c>
      <c r="G31" s="12">
        <v>2942.69</v>
      </c>
      <c r="H31" s="12">
        <v>1134.24</v>
      </c>
      <c r="I31" s="12">
        <v>767.27</v>
      </c>
      <c r="J31" s="12">
        <v>83.4</v>
      </c>
      <c r="K31" s="12">
        <v>6516.32</v>
      </c>
      <c r="L31" s="12">
        <v>4703.76</v>
      </c>
      <c r="M31" s="12">
        <v>3352.69</v>
      </c>
      <c r="N31" s="12">
        <f t="shared" si="17"/>
        <v>34560.680000000008</v>
      </c>
    </row>
    <row r="32" spans="1:14" ht="20.25" customHeight="1" thickBot="1" x14ac:dyDescent="0.3">
      <c r="A32" s="3" t="s">
        <v>25</v>
      </c>
      <c r="B32" s="12">
        <v>415.59</v>
      </c>
      <c r="C32" s="12">
        <v>415.59</v>
      </c>
      <c r="D32" s="12">
        <v>415.59</v>
      </c>
      <c r="E32" s="12">
        <v>415.59</v>
      </c>
      <c r="F32" s="12">
        <v>415.59</v>
      </c>
      <c r="G32" s="12">
        <v>415.59</v>
      </c>
      <c r="H32" s="12">
        <v>240.18</v>
      </c>
      <c r="I32" s="12">
        <v>240.18</v>
      </c>
      <c r="J32" s="12">
        <v>240.18</v>
      </c>
      <c r="K32" s="12">
        <v>240.18</v>
      </c>
      <c r="L32" s="12">
        <v>240.18</v>
      </c>
      <c r="M32" s="12">
        <v>240.18</v>
      </c>
      <c r="N32" s="12">
        <f t="shared" si="17"/>
        <v>3934.619999999999</v>
      </c>
    </row>
    <row r="33" spans="1:14" ht="21" customHeight="1" thickBot="1" x14ac:dyDescent="0.3">
      <c r="A33" s="3" t="s">
        <v>6</v>
      </c>
      <c r="B33" s="12">
        <f t="shared" ref="B33:M33" si="20">3386*2.87</f>
        <v>9717.82</v>
      </c>
      <c r="C33" s="12">
        <f t="shared" si="20"/>
        <v>9717.82</v>
      </c>
      <c r="D33" s="12">
        <f t="shared" si="20"/>
        <v>9717.82</v>
      </c>
      <c r="E33" s="12">
        <f t="shared" si="20"/>
        <v>9717.82</v>
      </c>
      <c r="F33" s="12">
        <f t="shared" si="20"/>
        <v>9717.82</v>
      </c>
      <c r="G33" s="12">
        <f t="shared" si="20"/>
        <v>9717.82</v>
      </c>
      <c r="H33" s="12">
        <f t="shared" si="20"/>
        <v>9717.82</v>
      </c>
      <c r="I33" s="12">
        <f t="shared" si="20"/>
        <v>9717.82</v>
      </c>
      <c r="J33" s="12">
        <f t="shared" si="20"/>
        <v>9717.82</v>
      </c>
      <c r="K33" s="12">
        <f t="shared" si="20"/>
        <v>9717.82</v>
      </c>
      <c r="L33" s="12">
        <f t="shared" si="20"/>
        <v>9717.82</v>
      </c>
      <c r="M33" s="12">
        <f t="shared" si="20"/>
        <v>9717.82</v>
      </c>
      <c r="N33" s="12">
        <f t="shared" si="17"/>
        <v>116613.84000000003</v>
      </c>
    </row>
    <row r="34" spans="1:14" ht="23.4" customHeight="1" thickBot="1" x14ac:dyDescent="0.3">
      <c r="A34" s="5" t="s">
        <v>42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2">
        <f t="shared" si="17"/>
        <v>0</v>
      </c>
    </row>
    <row r="35" spans="1:14" ht="23.4" customHeight="1" thickBot="1" x14ac:dyDescent="0.3">
      <c r="A35" s="3" t="s">
        <v>26</v>
      </c>
      <c r="B35" s="12">
        <v>1000</v>
      </c>
      <c r="C35" s="12">
        <v>1000</v>
      </c>
      <c r="D35" s="12">
        <v>1000</v>
      </c>
      <c r="E35" s="12">
        <v>1000</v>
      </c>
      <c r="F35" s="12">
        <v>800</v>
      </c>
      <c r="G35" s="12">
        <v>240</v>
      </c>
      <c r="H35" s="12">
        <v>800</v>
      </c>
      <c r="I35" s="12">
        <v>240</v>
      </c>
      <c r="J35" s="12">
        <v>1000</v>
      </c>
      <c r="K35" s="12">
        <v>1000</v>
      </c>
      <c r="L35" s="12">
        <v>1000</v>
      </c>
      <c r="M35" s="12">
        <v>1000</v>
      </c>
      <c r="N35" s="12">
        <f t="shared" si="17"/>
        <v>10080</v>
      </c>
    </row>
    <row r="36" spans="1:14" ht="23.4" customHeight="1" thickBot="1" x14ac:dyDescent="0.3">
      <c r="A36" s="3" t="s">
        <v>14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20332.25</v>
      </c>
      <c r="N36" s="12">
        <f t="shared" si="17"/>
        <v>20332.25</v>
      </c>
    </row>
    <row r="37" spans="1:14" ht="21" customHeight="1" thickBot="1" x14ac:dyDescent="0.3">
      <c r="A37" s="3" t="s">
        <v>10</v>
      </c>
      <c r="B37" s="12">
        <f>105+1550</f>
        <v>1655</v>
      </c>
      <c r="C37" s="12">
        <v>0</v>
      </c>
      <c r="D37" s="12">
        <v>0</v>
      </c>
      <c r="E37" s="12">
        <v>0</v>
      </c>
      <c r="F37" s="12">
        <f>7449.3+5034.2</f>
        <v>12483.5</v>
      </c>
      <c r="G37" s="12">
        <f>7000</f>
        <v>7000</v>
      </c>
      <c r="H37" s="12">
        <f>1298.5</f>
        <v>1298.5</v>
      </c>
      <c r="I37" s="12">
        <f>500+33644.1+25916+5354+5173.9+14275.2+1800</f>
        <v>86663.2</v>
      </c>
      <c r="J37" s="12">
        <f>16909.1</f>
        <v>16909.099999999999</v>
      </c>
      <c r="K37" s="12">
        <f>8291.7+210+2677</f>
        <v>11178.7</v>
      </c>
      <c r="L37" s="12">
        <f>15000+34000+105+9391.7+14758.7</f>
        <v>73255.399999999994</v>
      </c>
      <c r="M37" s="12">
        <f>2448.4</f>
        <v>2448.4</v>
      </c>
      <c r="N37" s="12">
        <f t="shared" si="17"/>
        <v>212891.8</v>
      </c>
    </row>
    <row r="38" spans="1:14" ht="22.5" customHeight="1" thickBot="1" x14ac:dyDescent="0.3">
      <c r="A38" s="10" t="s">
        <v>23</v>
      </c>
      <c r="B38" s="11">
        <f t="shared" ref="B38:M38" si="21">SUM(B24:B37)</f>
        <v>54816.12309999999</v>
      </c>
      <c r="C38" s="11">
        <f t="shared" si="21"/>
        <v>50956.061049999997</v>
      </c>
      <c r="D38" s="11">
        <f t="shared" si="21"/>
        <v>52172.016949999997</v>
      </c>
      <c r="E38" s="11">
        <f t="shared" si="21"/>
        <v>55417.011019999998</v>
      </c>
      <c r="F38" s="11">
        <f t="shared" si="21"/>
        <v>70273.620720000006</v>
      </c>
      <c r="G38" s="11">
        <f t="shared" si="21"/>
        <v>59754.772199999999</v>
      </c>
      <c r="H38" s="11">
        <f t="shared" si="21"/>
        <v>52513.450299999997</v>
      </c>
      <c r="I38" s="11">
        <f t="shared" si="21"/>
        <v>136991.57384999999</v>
      </c>
      <c r="J38" s="11">
        <f t="shared" si="21"/>
        <v>68977.60196</v>
      </c>
      <c r="K38" s="11">
        <f t="shared" si="21"/>
        <v>67971.049239999993</v>
      </c>
      <c r="L38" s="11">
        <f t="shared" si="21"/>
        <v>128564.00708</v>
      </c>
      <c r="M38" s="11">
        <f t="shared" si="21"/>
        <v>76582.095789999992</v>
      </c>
      <c r="N38" s="11">
        <f>SUM(B38:M38)</f>
        <v>874989.38326000003</v>
      </c>
    </row>
    <row r="39" spans="1:14" ht="23.25" customHeight="1" thickBot="1" x14ac:dyDescent="0.3">
      <c r="A39" s="3" t="s">
        <v>5</v>
      </c>
      <c r="B39" s="16">
        <f t="shared" ref="B39:N39" si="22">B15-B38</f>
        <v>28289.356900000006</v>
      </c>
      <c r="C39" s="16">
        <f t="shared" si="22"/>
        <v>24650.058950000013</v>
      </c>
      <c r="D39" s="16">
        <f t="shared" si="22"/>
        <v>12402.753049999999</v>
      </c>
      <c r="E39" s="16">
        <f t="shared" si="22"/>
        <v>8345.4789800000071</v>
      </c>
      <c r="F39" s="16">
        <f t="shared" si="22"/>
        <v>-9128.2307200000068</v>
      </c>
      <c r="G39" s="16">
        <f t="shared" si="22"/>
        <v>5298.9577999999965</v>
      </c>
      <c r="H39" s="16">
        <f t="shared" si="22"/>
        <v>8988.8197000000073</v>
      </c>
      <c r="I39" s="16">
        <f t="shared" si="22"/>
        <v>-70748.933849999972</v>
      </c>
      <c r="J39" s="16">
        <f t="shared" si="22"/>
        <v>-6422.7419599999994</v>
      </c>
      <c r="K39" s="16">
        <f t="shared" si="22"/>
        <v>-3746.1192399999927</v>
      </c>
      <c r="L39" s="16">
        <f t="shared" si="22"/>
        <v>-56601.227079999997</v>
      </c>
      <c r="M39" s="16">
        <f t="shared" si="22"/>
        <v>-7400.2057900000073</v>
      </c>
      <c r="N39" s="12">
        <f t="shared" si="22"/>
        <v>-66072.033259999938</v>
      </c>
    </row>
    <row r="40" spans="1:14" ht="23.25" customHeight="1" thickBot="1" x14ac:dyDescent="0.3">
      <c r="A40" s="3" t="s">
        <v>7</v>
      </c>
      <c r="B40" s="17">
        <f t="shared" ref="B40:M40" si="23">B5+B39</f>
        <v>-452988.38309999998</v>
      </c>
      <c r="C40" s="17">
        <f t="shared" si="23"/>
        <v>-428338.32414999994</v>
      </c>
      <c r="D40" s="17">
        <f t="shared" si="23"/>
        <v>-415935.57109999994</v>
      </c>
      <c r="E40" s="17">
        <f t="shared" si="23"/>
        <v>-407590.09211999993</v>
      </c>
      <c r="F40" s="17">
        <f t="shared" si="23"/>
        <v>-416718.32283999992</v>
      </c>
      <c r="G40" s="17">
        <f t="shared" si="23"/>
        <v>-411419.36503999995</v>
      </c>
      <c r="H40" s="17">
        <f t="shared" si="23"/>
        <v>-402430.54533999995</v>
      </c>
      <c r="I40" s="17">
        <f t="shared" si="23"/>
        <v>-473179.47918999993</v>
      </c>
      <c r="J40" s="17">
        <f t="shared" si="23"/>
        <v>-479602.22114999994</v>
      </c>
      <c r="K40" s="17">
        <f t="shared" si="23"/>
        <v>-483348.34038999991</v>
      </c>
      <c r="L40" s="17">
        <f t="shared" si="23"/>
        <v>-539949.56746999989</v>
      </c>
      <c r="M40" s="17">
        <f t="shared" si="23"/>
        <v>-547349.77325999993</v>
      </c>
      <c r="N40" s="16">
        <f>N5-N38+N15</f>
        <v>-547349.77325999993</v>
      </c>
    </row>
    <row r="41" spans="1:14" ht="27" customHeight="1" thickBot="1" x14ac:dyDescent="0.3">
      <c r="A41" s="4" t="s">
        <v>11</v>
      </c>
      <c r="B41" s="18">
        <f>B6+B15-B7</f>
        <v>-180686.82</v>
      </c>
      <c r="C41" s="18">
        <f t="shared" ref="C41:N41" si="24">C6+C15-C7</f>
        <v>-181358.85</v>
      </c>
      <c r="D41" s="18">
        <f t="shared" si="24"/>
        <v>-176279.03000000003</v>
      </c>
      <c r="E41" s="18">
        <f t="shared" si="24"/>
        <v>-181336.38</v>
      </c>
      <c r="F41" s="18">
        <f t="shared" si="24"/>
        <v>-192065.73</v>
      </c>
      <c r="G41" s="18">
        <f t="shared" si="24"/>
        <v>-201468.10000000003</v>
      </c>
      <c r="H41" s="18">
        <f t="shared" si="24"/>
        <v>-209857.23</v>
      </c>
      <c r="I41" s="18">
        <f t="shared" si="24"/>
        <v>-211759.13999999998</v>
      </c>
      <c r="J41" s="18">
        <f t="shared" si="24"/>
        <v>-216920.19999999995</v>
      </c>
      <c r="K41" s="18">
        <f t="shared" si="24"/>
        <v>-221511.84999999995</v>
      </c>
      <c r="L41" s="18">
        <f t="shared" si="24"/>
        <v>-222569.22999999992</v>
      </c>
      <c r="M41" s="18">
        <f t="shared" si="24"/>
        <v>-223248.16999999993</v>
      </c>
      <c r="N41" s="19">
        <f t="shared" si="24"/>
        <v>-223248.16999999981</v>
      </c>
    </row>
  </sheetData>
  <mergeCells count="2">
    <mergeCell ref="A1:N1"/>
    <mergeCell ref="B23:N23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2025-03-04T04:57:16Z</cp:lastPrinted>
  <dcterms:created xsi:type="dcterms:W3CDTF">2011-06-06T03:25:48Z</dcterms:created>
  <dcterms:modified xsi:type="dcterms:W3CDTF">2025-03-04T07:50:42Z</dcterms:modified>
</cp:coreProperties>
</file>