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4" sheetId="1" r:id="rId1"/>
  </sheets>
  <calcPr calcId="144525" refMode="R1C1"/>
</workbook>
</file>

<file path=xl/calcChain.xml><?xml version="1.0" encoding="utf-8"?>
<calcChain xmlns="http://schemas.openxmlformats.org/spreadsheetml/2006/main">
  <c r="M19" i="1" l="1"/>
  <c r="M23" i="1"/>
  <c r="M20" i="1"/>
  <c r="M14" i="1"/>
  <c r="M11" i="1"/>
  <c r="M9" i="1"/>
  <c r="L19" i="1"/>
  <c r="L23" i="1"/>
  <c r="L20" i="1"/>
  <c r="L10" i="1"/>
  <c r="L14" i="1"/>
  <c r="L11" i="1"/>
  <c r="L9" i="1"/>
  <c r="K19" i="1"/>
  <c r="K23" i="1"/>
  <c r="K21" i="1"/>
  <c r="K20" i="1"/>
  <c r="K10" i="1"/>
  <c r="K14" i="1"/>
  <c r="K11" i="1"/>
  <c r="K9" i="1"/>
  <c r="M39" i="1" l="1"/>
  <c r="L39" i="1" l="1"/>
  <c r="M34" i="1" l="1"/>
  <c r="K34" i="1"/>
  <c r="M31" i="1"/>
  <c r="K31" i="1"/>
  <c r="K39" i="1" l="1"/>
  <c r="M29" i="1" l="1"/>
  <c r="M17" i="1"/>
  <c r="M28" i="1"/>
  <c r="M8" i="1"/>
  <c r="J44" i="1"/>
  <c r="N43" i="1"/>
  <c r="L29" i="1" l="1"/>
  <c r="L17" i="1"/>
  <c r="L28" i="1"/>
  <c r="L8" i="1"/>
  <c r="K29" i="1" l="1"/>
  <c r="K17" i="1"/>
  <c r="K28" i="1"/>
  <c r="K8" i="1"/>
  <c r="K35" i="1" l="1"/>
  <c r="L35" i="1"/>
  <c r="M35" i="1"/>
  <c r="K30" i="1"/>
  <c r="L30" i="1"/>
  <c r="M30" i="1"/>
  <c r="K27" i="1"/>
  <c r="L27" i="1"/>
  <c r="M27" i="1"/>
  <c r="K26" i="1"/>
  <c r="L26" i="1"/>
  <c r="M26" i="1"/>
  <c r="I14" i="1" l="1"/>
  <c r="I12" i="1"/>
  <c r="I11" i="1"/>
  <c r="I10" i="1"/>
  <c r="I7" i="1" l="1"/>
  <c r="I9" i="1"/>
  <c r="I8" i="1"/>
  <c r="J19" i="1" l="1"/>
  <c r="J23" i="1"/>
  <c r="J21" i="1"/>
  <c r="J20" i="1"/>
  <c r="J10" i="1"/>
  <c r="J14" i="1"/>
  <c r="J12" i="1"/>
  <c r="J11" i="1"/>
  <c r="J18" i="1"/>
  <c r="J9" i="1"/>
  <c r="H19" i="1"/>
  <c r="H23" i="1"/>
  <c r="H20" i="1"/>
  <c r="H10" i="1"/>
  <c r="H14" i="1"/>
  <c r="H12" i="1"/>
  <c r="H11" i="1"/>
  <c r="H9" i="1"/>
  <c r="J34" i="1" l="1"/>
  <c r="I34" i="1"/>
  <c r="H34" i="1"/>
  <c r="J31" i="1" l="1"/>
  <c r="I31" i="1"/>
  <c r="H31" i="1"/>
  <c r="J29" i="1" l="1"/>
  <c r="J17" i="1"/>
  <c r="J28" i="1"/>
  <c r="J8" i="1"/>
  <c r="H39" i="1" l="1"/>
  <c r="I29" i="1" l="1"/>
  <c r="I17" i="1"/>
  <c r="H29" i="1" l="1"/>
  <c r="H17" i="1"/>
  <c r="H28" i="1"/>
  <c r="H8" i="1"/>
  <c r="H35" i="1" l="1"/>
  <c r="I35" i="1"/>
  <c r="J35" i="1"/>
  <c r="H30" i="1" l="1"/>
  <c r="I30" i="1"/>
  <c r="J30" i="1"/>
  <c r="H27" i="1"/>
  <c r="I27" i="1"/>
  <c r="J27" i="1"/>
  <c r="H26" i="1"/>
  <c r="I26" i="1"/>
  <c r="J26" i="1"/>
  <c r="G19" i="1" l="1"/>
  <c r="G23" i="1"/>
  <c r="G21" i="1"/>
  <c r="G20" i="1"/>
  <c r="G10" i="1"/>
  <c r="G14" i="1"/>
  <c r="G11" i="1"/>
  <c r="G9" i="1"/>
  <c r="F19" i="1"/>
  <c r="F23" i="1"/>
  <c r="F21" i="1"/>
  <c r="F20" i="1"/>
  <c r="F10" i="1"/>
  <c r="F14" i="1"/>
  <c r="F12" i="1"/>
  <c r="F11" i="1"/>
  <c r="F18" i="1"/>
  <c r="F9" i="1"/>
  <c r="E19" i="1"/>
  <c r="E20" i="1"/>
  <c r="E23" i="1"/>
  <c r="E10" i="1"/>
  <c r="E11" i="1"/>
  <c r="E14" i="1"/>
  <c r="E9" i="1"/>
  <c r="G39" i="1" l="1"/>
  <c r="G31" i="1" l="1"/>
  <c r="F31" i="1"/>
  <c r="E31" i="1"/>
  <c r="F39" i="1" l="1"/>
  <c r="G29" i="1" l="1"/>
  <c r="G17" i="1"/>
  <c r="G28" i="1"/>
  <c r="G8" i="1"/>
  <c r="F29" i="1" l="1"/>
  <c r="F17" i="1"/>
  <c r="F28" i="1"/>
  <c r="F8" i="1"/>
  <c r="E29" i="1" l="1"/>
  <c r="E17" i="1"/>
  <c r="E28" i="1"/>
  <c r="E8" i="1"/>
  <c r="E39" i="1" l="1"/>
  <c r="E35" i="1" l="1"/>
  <c r="F35" i="1"/>
  <c r="G35" i="1"/>
  <c r="E30" i="1"/>
  <c r="F30" i="1"/>
  <c r="G30" i="1"/>
  <c r="E27" i="1"/>
  <c r="F27" i="1"/>
  <c r="G27" i="1"/>
  <c r="E26" i="1"/>
  <c r="F26" i="1"/>
  <c r="G26" i="1"/>
  <c r="D19" i="1" l="1"/>
  <c r="D21" i="1"/>
  <c r="D20" i="1"/>
  <c r="D23" i="1"/>
  <c r="D10" i="1"/>
  <c r="D11" i="1"/>
  <c r="D14" i="1"/>
  <c r="D9" i="1"/>
  <c r="C10" i="1"/>
  <c r="C11" i="1"/>
  <c r="C14" i="1"/>
  <c r="C9" i="1"/>
  <c r="B19" i="1"/>
  <c r="B21" i="1"/>
  <c r="B20" i="1"/>
  <c r="B23" i="1"/>
  <c r="B10" i="1"/>
  <c r="B12" i="1"/>
  <c r="B11" i="1"/>
  <c r="B14" i="1"/>
  <c r="B9" i="1"/>
  <c r="D39" i="1" l="1"/>
  <c r="D31" i="1" l="1"/>
  <c r="C31" i="1"/>
  <c r="B31" i="1"/>
  <c r="D29" i="1" l="1"/>
  <c r="D17" i="1"/>
  <c r="D28" i="1"/>
  <c r="D8" i="1"/>
  <c r="B39" i="1" l="1"/>
  <c r="C29" i="1" l="1"/>
  <c r="C17" i="1"/>
  <c r="C28" i="1"/>
  <c r="C8" i="1"/>
  <c r="B29" i="1" l="1"/>
  <c r="B17" i="1"/>
  <c r="B28" i="1"/>
  <c r="B8" i="1"/>
  <c r="C35" i="1"/>
  <c r="D35" i="1"/>
  <c r="C30" i="1"/>
  <c r="D30" i="1"/>
  <c r="C27" i="1"/>
  <c r="D27" i="1"/>
  <c r="C26" i="1"/>
  <c r="D26" i="1"/>
  <c r="B35" i="1" l="1"/>
  <c r="B30" i="1"/>
  <c r="B27" i="1"/>
  <c r="B26" i="1"/>
  <c r="D40" i="1" l="1"/>
  <c r="E40" i="1"/>
  <c r="F40" i="1"/>
  <c r="G40" i="1"/>
  <c r="H40" i="1"/>
  <c r="I40" i="1"/>
  <c r="J40" i="1"/>
  <c r="K40" i="1"/>
  <c r="L40" i="1"/>
  <c r="M40" i="1"/>
  <c r="C40" i="1"/>
  <c r="C7" i="1" l="1"/>
  <c r="D7" i="1"/>
  <c r="E7" i="1"/>
  <c r="F7" i="1"/>
  <c r="G7" i="1"/>
  <c r="H7" i="1"/>
  <c r="J7" i="1"/>
  <c r="B7" i="1"/>
  <c r="B40" i="1"/>
  <c r="N40" i="1" s="1"/>
  <c r="B16" i="1" l="1"/>
  <c r="C16" i="1"/>
  <c r="C41" i="1" s="1"/>
  <c r="D16" i="1"/>
  <c r="D41" i="1" s="1"/>
  <c r="E16" i="1"/>
  <c r="E41" i="1" s="1"/>
  <c r="F16" i="1"/>
  <c r="F41" i="1" s="1"/>
  <c r="G16" i="1"/>
  <c r="G41" i="1" s="1"/>
  <c r="H16" i="1"/>
  <c r="H41" i="1" s="1"/>
  <c r="I16" i="1"/>
  <c r="I41" i="1" s="1"/>
  <c r="B41" i="1" l="1"/>
  <c r="B42" i="1" s="1"/>
  <c r="C5" i="1" s="1"/>
  <c r="C42" i="1" s="1"/>
  <c r="D5" i="1" s="1"/>
  <c r="D42" i="1" s="1"/>
  <c r="E5" i="1" s="1"/>
  <c r="B44" i="1"/>
  <c r="C6" i="1" l="1"/>
  <c r="C44" i="1" s="1"/>
  <c r="D6" i="1" s="1"/>
  <c r="D44" i="1" s="1"/>
  <c r="E6" i="1" s="1"/>
  <c r="E44" i="1" s="1"/>
  <c r="F6" i="1" s="1"/>
  <c r="F44" i="1" l="1"/>
  <c r="G6" i="1" s="1"/>
  <c r="E42" i="1"/>
  <c r="F5" i="1" s="1"/>
  <c r="N38" i="1"/>
  <c r="G44" i="1" l="1"/>
  <c r="H6" i="1" s="1"/>
  <c r="F42" i="1"/>
  <c r="G5" i="1" s="1"/>
  <c r="N15" i="1"/>
  <c r="H44" i="1" l="1"/>
  <c r="I6" i="1" s="1"/>
  <c r="I44" i="1" s="1"/>
  <c r="G42" i="1"/>
  <c r="H5" i="1" s="1"/>
  <c r="N39" i="1"/>
  <c r="J6" i="1" l="1"/>
  <c r="H42" i="1"/>
  <c r="I5" i="1" s="1"/>
  <c r="N6" i="1"/>
  <c r="N5" i="1"/>
  <c r="I42" i="1" l="1"/>
  <c r="J5" i="1" s="1"/>
  <c r="K16" i="1"/>
  <c r="K41" i="1" s="1"/>
  <c r="K7" i="1"/>
  <c r="N26" i="1"/>
  <c r="N27" i="1"/>
  <c r="N30" i="1"/>
  <c r="N31" i="1"/>
  <c r="N32" i="1"/>
  <c r="N33" i="1"/>
  <c r="N34" i="1"/>
  <c r="N35" i="1"/>
  <c r="N36" i="1"/>
  <c r="N24" i="1"/>
  <c r="L16" i="1"/>
  <c r="L41" i="1" s="1"/>
  <c r="M16" i="1"/>
  <c r="M41" i="1" s="1"/>
  <c r="M7" i="1"/>
  <c r="N13" i="1"/>
  <c r="L7" i="1" l="1"/>
  <c r="N7" i="1" s="1"/>
  <c r="J16" i="1" l="1"/>
  <c r="N12" i="1"/>
  <c r="N29" i="1"/>
  <c r="N23" i="1"/>
  <c r="N22" i="1"/>
  <c r="N21" i="1"/>
  <c r="N20" i="1"/>
  <c r="N19" i="1"/>
  <c r="N8" i="1"/>
  <c r="N9" i="1"/>
  <c r="N14" i="1"/>
  <c r="N10" i="1"/>
  <c r="J41" i="1" l="1"/>
  <c r="J42" i="1" s="1"/>
  <c r="K5" i="1" s="1"/>
  <c r="N16" i="1"/>
  <c r="N44" i="1" s="1"/>
  <c r="K6" i="1"/>
  <c r="K44" i="1" s="1"/>
  <c r="N11" i="1"/>
  <c r="N17" i="1"/>
  <c r="N18" i="1"/>
  <c r="N28" i="1"/>
  <c r="N41" i="1" l="1"/>
  <c r="N42" i="1" s="1"/>
  <c r="N37" i="1"/>
  <c r="K42" i="1" l="1"/>
  <c r="L5" i="1" s="1"/>
  <c r="L42" i="1" l="1"/>
  <c r="M5" i="1" s="1"/>
  <c r="L6" i="1"/>
  <c r="L44" i="1" s="1"/>
  <c r="M6" i="1" l="1"/>
  <c r="M44" i="1" s="1"/>
  <c r="M42" i="1"/>
</calcChain>
</file>

<file path=xl/sharedStrings.xml><?xml version="1.0" encoding="utf-8"?>
<sst xmlns="http://schemas.openxmlformats.org/spreadsheetml/2006/main" count="55" uniqueCount="46">
  <si>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</si>
  <si>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</si>
  <si>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</si>
  <si>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</si>
  <si>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</si>
  <si>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</si>
  <si>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</si>
  <si>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</si>
  <si>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</si>
  <si>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</si>
  <si>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</si>
  <si>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</si>
  <si>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</si>
  <si>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</si>
  <si>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Тех.обслуживание газового оборудования</t>
  </si>
  <si>
    <t>Дополнительный доход (использование общего имущества)</t>
  </si>
  <si>
    <t>Средства на счете дома на начало периода</t>
  </si>
  <si>
    <t>Содержание жилья и текущий ремонт /нежилые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</si>
  <si>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</si>
  <si>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</si>
  <si>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</si>
  <si>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</si>
  <si>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</si>
  <si>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</si>
  <si>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</si>
  <si>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</si>
  <si>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Тех.обслуживание приборов учета</t>
  </si>
  <si>
    <t>Вознаграждение, координация с советом МКД</t>
  </si>
  <si>
    <t>Отведение сточных вод ОИ</t>
  </si>
  <si>
    <t xml:space="preserve">Содержание жилья и текущий ремонт,  ОПУ </t>
  </si>
  <si>
    <t>Содержание жилья и текущий ремонт,  ОПУ</t>
  </si>
  <si>
    <t>Январь 2024г.</t>
  </si>
  <si>
    <t>Февраль 2024г.</t>
  </si>
  <si>
    <t>Март 2024г.</t>
  </si>
  <si>
    <t>Апрель 2024г.</t>
  </si>
  <si>
    <t>Май 2024г.</t>
  </si>
  <si>
    <t>Июнь 2024г.</t>
  </si>
  <si>
    <t>Июль 2024г</t>
  </si>
  <si>
    <t>Август 2024г</t>
  </si>
  <si>
    <t>Сентябрь 2024г</t>
  </si>
  <si>
    <t>Октябрь 2024г</t>
  </si>
  <si>
    <t>Ноябрь 2024г</t>
  </si>
  <si>
    <t>Декабрь 2024г.</t>
  </si>
  <si>
    <t>Всего:                       за  2024г</t>
  </si>
  <si>
    <t>Корректировка задолженности по решению суда</t>
  </si>
  <si>
    <t xml:space="preserve">                 ОТЧЕТ по дому Липового, 72 за период 01.01.2024г. по 31.12.2024г.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</si>
</sst>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164" fontId="5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4"/>
  <sheetViews>
    <sheetView tabSelected="1" topLeftCell="A35" zoomScale="75" workbookViewId="0">
      <selection activeCell="G48" sqref="G48:G49"/>
    </sheetView>
  </sheetViews>
  <sheetFormatPr defaultRowHeight="13.2" x14ac:dyDescent="0.25"/>
  <cols>
    <col min="1" max="1" width="58.6640625" customWidth="1"/>
    <col min="2" max="2" width="16.5546875" customWidth="1"/>
    <col min="3" max="3" width="14.5546875" customWidth="1"/>
    <col min="4" max="4" width="14" customWidth="1"/>
    <col min="5" max="5" width="14.109375" customWidth="1"/>
    <col min="6" max="6" width="13.88671875" customWidth="1"/>
    <col min="7" max="7" width="13.33203125" customWidth="1"/>
    <col min="8" max="8" width="13.5546875" customWidth="1"/>
    <col min="9" max="13" width="14.109375" customWidth="1"/>
    <col min="14" max="14" width="15.88671875" customWidth="1"/>
  </cols>
  <sheetData>
    <row r="1" spans="1:18" ht="20.25" customHeight="1" x14ac:dyDescent="0.35">
      <c r="A1" s="21" t="s">
        <v>45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31</v>
      </c>
      <c r="C4" s="6" t="s">
        <v>32</v>
      </c>
      <c r="D4" s="6" t="s">
        <v>33</v>
      </c>
      <c r="E4" s="6" t="s">
        <v>34</v>
      </c>
      <c r="F4" s="6" t="s">
        <v>35</v>
      </c>
      <c r="G4" s="6" t="s">
        <v>36</v>
      </c>
      <c r="H4" s="6" t="s">
        <v>37</v>
      </c>
      <c r="I4" s="6" t="s">
        <v>38</v>
      </c>
      <c r="J4" s="6" t="s">
        <v>39</v>
      </c>
      <c r="K4" s="6" t="s">
        <v>40</v>
      </c>
      <c r="L4" s="6" t="s">
        <v>41</v>
      </c>
      <c r="M4" s="6" t="s">
        <v>42</v>
      </c>
      <c r="N4" s="6" t="s">
        <v>43</v>
      </c>
    </row>
    <row r="5" spans="1:18" ht="23.25" customHeight="1" thickBot="1" x14ac:dyDescent="0.3">
      <c r="A5" s="7" t="s">
        <v>16</v>
      </c>
      <c r="B5" s="8">
        <v>-531173.78</v>
      </c>
      <c r="C5" s="8">
        <f t="shared" ref="C5" si="0">B42</f>
        <v>-523513.10593000002</v>
      </c>
      <c r="D5" s="8">
        <f t="shared" ref="D5" si="1">C42</f>
        <v>-534599.04790999996</v>
      </c>
      <c r="E5" s="8">
        <f t="shared" ref="E5" si="2">D42</f>
        <v>-502037.85779999994</v>
      </c>
      <c r="F5" s="8">
        <f t="shared" ref="F5" si="3">E42</f>
        <v>-478685.00508999993</v>
      </c>
      <c r="G5" s="8">
        <f t="shared" ref="G5" si="4">F42</f>
        <v>-396132.33345999994</v>
      </c>
      <c r="H5" s="8">
        <f t="shared" ref="H5" si="5">G42</f>
        <v>-398131.20377999992</v>
      </c>
      <c r="I5" s="8">
        <f t="shared" ref="I5" si="6">H42</f>
        <v>-401698.85161999991</v>
      </c>
      <c r="J5" s="8">
        <f t="shared" ref="J5" si="7">I42</f>
        <v>-400739.62751999992</v>
      </c>
      <c r="K5" s="8">
        <f t="shared" ref="K5" si="8">J42</f>
        <v>-366674.59671999991</v>
      </c>
      <c r="L5" s="8">
        <f t="shared" ref="L5" si="9">K42</f>
        <v>-351073.94323999994</v>
      </c>
      <c r="M5" s="8">
        <f t="shared" ref="M5" si="10">L42</f>
        <v>-364774.60411999992</v>
      </c>
      <c r="N5" s="8">
        <f>B5</f>
        <v>-531173.78</v>
      </c>
    </row>
    <row r="6" spans="1:18" ht="21" customHeight="1" thickBot="1" x14ac:dyDescent="0.3">
      <c r="A6" s="7" t="s">
        <v>13</v>
      </c>
      <c r="B6" s="8">
        <v>-179928.77</v>
      </c>
      <c r="C6" s="8">
        <f t="shared" ref="C6:M6" si="11">B44</f>
        <v>-187388.87999999998</v>
      </c>
      <c r="D6" s="8">
        <f t="shared" si="11"/>
        <v>-214379.8</v>
      </c>
      <c r="E6" s="8">
        <f t="shared" si="11"/>
        <v>-206194.21999999997</v>
      </c>
      <c r="F6" s="8">
        <f t="shared" si="11"/>
        <v>-209743.52999999997</v>
      </c>
      <c r="G6" s="8">
        <f t="shared" si="11"/>
        <v>-122513.46</v>
      </c>
      <c r="H6" s="8">
        <f t="shared" si="11"/>
        <v>-130676.71</v>
      </c>
      <c r="I6" s="8">
        <f t="shared" si="11"/>
        <v>-131070.37</v>
      </c>
      <c r="J6" s="8">
        <f t="shared" si="11"/>
        <v>-150563.59000000003</v>
      </c>
      <c r="K6" s="8">
        <f t="shared" si="11"/>
        <v>-133763.07</v>
      </c>
      <c r="L6" s="8">
        <f t="shared" si="11"/>
        <v>-136841.83000000002</v>
      </c>
      <c r="M6" s="8">
        <f t="shared" si="11"/>
        <v>-153957.22000000003</v>
      </c>
      <c r="N6" s="8">
        <f>B6</f>
        <v>-179928.77</v>
      </c>
    </row>
    <row r="7" spans="1:18" ht="20.25" customHeight="1" thickBot="1" x14ac:dyDescent="0.3">
      <c r="A7" s="9" t="s">
        <v>12</v>
      </c>
      <c r="B7" s="10">
        <f>SUM(B8:B15)</f>
        <v>83765.34</v>
      </c>
      <c r="C7" s="10">
        <f t="shared" ref="C7:J7" si="12">SUM(C8:C15)</f>
        <v>84961.279999999999</v>
      </c>
      <c r="D7" s="10">
        <f t="shared" si="12"/>
        <v>87005.840000000011</v>
      </c>
      <c r="E7" s="10">
        <f t="shared" si="12"/>
        <v>78581.400000000009</v>
      </c>
      <c r="F7" s="10">
        <f t="shared" si="12"/>
        <v>69240.340000000011</v>
      </c>
      <c r="G7" s="10">
        <f t="shared" si="12"/>
        <v>73174.55</v>
      </c>
      <c r="H7" s="10">
        <f t="shared" si="12"/>
        <v>80473.89</v>
      </c>
      <c r="I7" s="10">
        <f>SUM(I8:I15)</f>
        <v>81901.400000000009</v>
      </c>
      <c r="J7" s="10">
        <f t="shared" si="12"/>
        <v>76192.260000000009</v>
      </c>
      <c r="K7" s="10">
        <f t="shared" ref="K7:M7" si="13">SUM(K8:K15)</f>
        <v>75152.69</v>
      </c>
      <c r="L7" s="10">
        <f t="shared" si="13"/>
        <v>73829.94</v>
      </c>
      <c r="M7" s="10">
        <f t="shared" si="13"/>
        <v>70934.47</v>
      </c>
      <c r="N7" s="10">
        <f>SUM(B7:M7)</f>
        <v>935213.39999999991</v>
      </c>
    </row>
    <row r="8" spans="1:18" ht="24.75" customHeight="1" thickBot="1" x14ac:dyDescent="0.3">
      <c r="A8" s="4" t="s">
        <v>29</v>
      </c>
      <c r="B8" s="11">
        <f t="shared" ref="B8:G8" si="14">53112.7+1486.6</f>
        <v>54599.299999999996</v>
      </c>
      <c r="C8" s="11">
        <f t="shared" si="14"/>
        <v>54599.299999999996</v>
      </c>
      <c r="D8" s="11">
        <f t="shared" si="14"/>
        <v>54599.299999999996</v>
      </c>
      <c r="E8" s="11">
        <f t="shared" si="14"/>
        <v>54599.299999999996</v>
      </c>
      <c r="F8" s="11">
        <f t="shared" si="14"/>
        <v>54599.299999999996</v>
      </c>
      <c r="G8" s="11">
        <f t="shared" si="14"/>
        <v>54599.299999999996</v>
      </c>
      <c r="H8" s="11">
        <f t="shared" ref="H8:M8" si="15">53112.7+1486.6</f>
        <v>54599.299999999996</v>
      </c>
      <c r="I8" s="11">
        <f t="shared" si="15"/>
        <v>54599.299999999996</v>
      </c>
      <c r="J8" s="11">
        <f t="shared" si="15"/>
        <v>54599.299999999996</v>
      </c>
      <c r="K8" s="11">
        <f t="shared" si="15"/>
        <v>54599.299999999996</v>
      </c>
      <c r="L8" s="11">
        <f t="shared" si="15"/>
        <v>54599.299999999996</v>
      </c>
      <c r="M8" s="11">
        <f t="shared" si="15"/>
        <v>54599.299999999996</v>
      </c>
      <c r="N8" s="11">
        <f t="shared" ref="N8:N24" si="16">SUM(B8:M8)</f>
        <v>655191.60000000009</v>
      </c>
    </row>
    <row r="9" spans="1:18" ht="24.75" customHeight="1" thickBot="1" x14ac:dyDescent="0.3">
      <c r="A9" s="4" t="s">
        <v>17</v>
      </c>
      <c r="B9" s="11">
        <f>8845.39+4247.47</f>
        <v>13092.86</v>
      </c>
      <c r="C9" s="11">
        <f>8845.39+4247.47</f>
        <v>13092.86</v>
      </c>
      <c r="D9" s="11">
        <f>8845.39+4247.47</f>
        <v>13092.86</v>
      </c>
      <c r="E9" s="11">
        <f>4247.47+8845.39</f>
        <v>13092.86</v>
      </c>
      <c r="F9" s="11">
        <f>4247.47+8845.39</f>
        <v>13092.86</v>
      </c>
      <c r="G9" s="11">
        <f>4247.47+8845.39</f>
        <v>13092.86</v>
      </c>
      <c r="H9" s="11">
        <f>8845.39+4247.47</f>
        <v>13092.86</v>
      </c>
      <c r="I9" s="11">
        <f>8845.39+4247.47</f>
        <v>13092.86</v>
      </c>
      <c r="J9" s="11">
        <f>8845.39+4247.47</f>
        <v>13092.86</v>
      </c>
      <c r="K9" s="11">
        <f>8845.39+4247.47</f>
        <v>13092.86</v>
      </c>
      <c r="L9" s="11">
        <f>8845.39+4247.47</f>
        <v>13092.86</v>
      </c>
      <c r="M9" s="11">
        <f>8845.39+4247.47</f>
        <v>13092.86</v>
      </c>
      <c r="N9" s="11">
        <f t="shared" si="16"/>
        <v>157114.32</v>
      </c>
    </row>
    <row r="10" spans="1:18" ht="24.75" customHeight="1" thickBot="1" x14ac:dyDescent="0.3">
      <c r="A10" s="4" t="s">
        <v>18</v>
      </c>
      <c r="B10" s="11">
        <f>8747.53+1454.99+698.67</f>
        <v>10901.19</v>
      </c>
      <c r="C10" s="11">
        <f>12838.19+2138.6+1026.93</f>
        <v>16003.720000000001</v>
      </c>
      <c r="D10" s="11">
        <f>14479.41+2411.12+1157.8</f>
        <v>18048.329999999998</v>
      </c>
      <c r="E10" s="11">
        <f>7723.21+616.6+1284.08</f>
        <v>9623.89</v>
      </c>
      <c r="F10" s="11">
        <f>120.4+8.87+18.48</f>
        <v>147.75</v>
      </c>
      <c r="G10" s="11">
        <f>3382.92+270.6+563.52</f>
        <v>4217.04</v>
      </c>
      <c r="H10" s="11">
        <f>5167.91+859.13+412.55</f>
        <v>6439.59</v>
      </c>
      <c r="I10" s="11">
        <f>4715.85+785.23+377.06</f>
        <v>5878.14</v>
      </c>
      <c r="J10" s="11">
        <f>5179.7+863.75+414.77</f>
        <v>6458.2199999999993</v>
      </c>
      <c r="K10" s="11">
        <f>4898.22+817.56+392.59</f>
        <v>6108.3700000000008</v>
      </c>
      <c r="L10" s="11">
        <f>3396.98+618.95+297.21</f>
        <v>4313.1400000000003</v>
      </c>
      <c r="M10" s="11">
        <v>0</v>
      </c>
      <c r="N10" s="11">
        <f t="shared" si="16"/>
        <v>88139.38</v>
      </c>
    </row>
    <row r="11" spans="1:18" ht="24.75" customHeight="1" thickBot="1" x14ac:dyDescent="0.3">
      <c r="A11" s="4" t="s">
        <v>19</v>
      </c>
      <c r="B11" s="11">
        <f>163.63+27.71+13.31</f>
        <v>204.65</v>
      </c>
      <c r="C11" s="11">
        <f>163.63+27.71+13.31</f>
        <v>204.65</v>
      </c>
      <c r="D11" s="11">
        <f>163.58+27.71+13.31</f>
        <v>204.60000000000002</v>
      </c>
      <c r="E11" s="11">
        <f>163.58+13.31+27.71</f>
        <v>204.60000000000002</v>
      </c>
      <c r="F11" s="11">
        <f>163.58+13.31+27.71</f>
        <v>204.60000000000002</v>
      </c>
      <c r="G11" s="11">
        <f>163.58+13.31+27.71</f>
        <v>204.60000000000002</v>
      </c>
      <c r="H11" s="11">
        <f>180.78+32.33+15.53</f>
        <v>228.64000000000001</v>
      </c>
      <c r="I11" s="11">
        <f>180.78+32.33+15.53</f>
        <v>228.64000000000001</v>
      </c>
      <c r="J11" s="11">
        <f>180.78+32.33+15.53</f>
        <v>228.64000000000001</v>
      </c>
      <c r="K11" s="11">
        <f>180.78+32.33+15.53</f>
        <v>228.64000000000001</v>
      </c>
      <c r="L11" s="11">
        <f>180.78+32.33+15.53</f>
        <v>228.64000000000001</v>
      </c>
      <c r="M11" s="11">
        <f>180.78+32.33+15.53</f>
        <v>228.64000000000001</v>
      </c>
      <c r="N11" s="11">
        <f t="shared" si="16"/>
        <v>2599.5400000000004</v>
      </c>
    </row>
    <row r="12" spans="1:18" ht="24.75" customHeight="1" thickBot="1" x14ac:dyDescent="0.3">
      <c r="A12" s="4" t="s">
        <v>20</v>
      </c>
      <c r="B12" s="11">
        <f>3134.01+521.95+250.63</f>
        <v>3906.59</v>
      </c>
      <c r="C12" s="11">
        <v>0</v>
      </c>
      <c r="D12" s="11">
        <v>0</v>
      </c>
      <c r="E12" s="11">
        <v>0</v>
      </c>
      <c r="F12" s="11">
        <f>114.57+6.65+13.86</f>
        <v>135.07999999999998</v>
      </c>
      <c r="G12" s="11">
        <v>0</v>
      </c>
      <c r="H12" s="11">
        <f>4005.45+665.14+319.39</f>
        <v>4989.9800000000005</v>
      </c>
      <c r="I12" s="11">
        <f>5597.86+933.04+448.04</f>
        <v>6978.94</v>
      </c>
      <c r="J12" s="11">
        <f>552.98+92.38+44.36</f>
        <v>689.72</v>
      </c>
      <c r="K12" s="11">
        <v>0</v>
      </c>
      <c r="L12" s="11">
        <v>0</v>
      </c>
      <c r="M12" s="11">
        <v>0</v>
      </c>
      <c r="N12" s="11">
        <f t="shared" si="16"/>
        <v>16700.310000000001</v>
      </c>
    </row>
    <row r="13" spans="1:18" ht="24.75" hidden="1" customHeight="1" thickBot="1" x14ac:dyDescent="0.3">
      <c r="A13" s="4" t="s">
        <v>27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>
        <f t="shared" si="16"/>
        <v>0</v>
      </c>
    </row>
    <row r="14" spans="1:18" ht="24.75" customHeight="1" thickBot="1" x14ac:dyDescent="0.3">
      <c r="A14" s="4" t="s">
        <v>28</v>
      </c>
      <c r="B14" s="11">
        <f>315.54+50.81+24.4</f>
        <v>390.75</v>
      </c>
      <c r="C14" s="11">
        <f>315.54+50.81+24.4</f>
        <v>390.75</v>
      </c>
      <c r="D14" s="11">
        <f>315.54+50.81+24.4</f>
        <v>390.75</v>
      </c>
      <c r="E14" s="11">
        <f>315.54+24.4+50.81</f>
        <v>390.75</v>
      </c>
      <c r="F14" s="11">
        <f>315.54+24.4+50.81</f>
        <v>390.75</v>
      </c>
      <c r="G14" s="11">
        <f>315.54+24.4+50.81</f>
        <v>390.75</v>
      </c>
      <c r="H14" s="11">
        <f>364.64+60.05+28.83</f>
        <v>453.52</v>
      </c>
      <c r="I14" s="11">
        <f>364.64+60.05+28.83</f>
        <v>453.52</v>
      </c>
      <c r="J14" s="11">
        <f>364.64+60.05+28.83</f>
        <v>453.52</v>
      </c>
      <c r="K14" s="11">
        <f>364.64+60.05+28.83</f>
        <v>453.52</v>
      </c>
      <c r="L14" s="11">
        <f>741.4+124.71+59.89</f>
        <v>926</v>
      </c>
      <c r="M14" s="11">
        <f>2288.98+36.95+17.74</f>
        <v>2343.6699999999996</v>
      </c>
      <c r="N14" s="11">
        <f t="shared" si="16"/>
        <v>7428.25</v>
      </c>
    </row>
    <row r="15" spans="1:18" ht="24.75" customHeight="1" thickBot="1" x14ac:dyDescent="0.3">
      <c r="A15" s="4" t="s">
        <v>15</v>
      </c>
      <c r="B15" s="11">
        <v>670</v>
      </c>
      <c r="C15" s="11">
        <v>670</v>
      </c>
      <c r="D15" s="11">
        <v>670</v>
      </c>
      <c r="E15" s="11">
        <v>670</v>
      </c>
      <c r="F15" s="11">
        <v>670</v>
      </c>
      <c r="G15" s="11">
        <v>670</v>
      </c>
      <c r="H15" s="11">
        <v>670</v>
      </c>
      <c r="I15" s="11">
        <v>670</v>
      </c>
      <c r="J15" s="11">
        <v>670</v>
      </c>
      <c r="K15" s="11">
        <v>670</v>
      </c>
      <c r="L15" s="11">
        <v>670</v>
      </c>
      <c r="M15" s="11">
        <v>670</v>
      </c>
      <c r="N15" s="11">
        <f t="shared" si="16"/>
        <v>8040</v>
      </c>
    </row>
    <row r="16" spans="1:18" ht="20.25" customHeight="1" thickBot="1" x14ac:dyDescent="0.3">
      <c r="A16" s="12" t="s">
        <v>8</v>
      </c>
      <c r="B16" s="13">
        <f t="shared" ref="B16:M16" si="17">SUM(B17:B24)</f>
        <v>76305.23000000001</v>
      </c>
      <c r="C16" s="13">
        <f t="shared" si="17"/>
        <v>57970.36</v>
      </c>
      <c r="D16" s="13">
        <f t="shared" si="17"/>
        <v>95191.420000000027</v>
      </c>
      <c r="E16" s="13">
        <f t="shared" si="17"/>
        <v>75032.09</v>
      </c>
      <c r="F16" s="13">
        <f t="shared" si="17"/>
        <v>156470.40999999997</v>
      </c>
      <c r="G16" s="13">
        <f t="shared" si="17"/>
        <v>65011.3</v>
      </c>
      <c r="H16" s="13">
        <f t="shared" si="17"/>
        <v>80080.23000000001</v>
      </c>
      <c r="I16" s="13">
        <f t="shared" si="17"/>
        <v>60093.93</v>
      </c>
      <c r="J16" s="13">
        <f t="shared" si="17"/>
        <v>92992.780000000013</v>
      </c>
      <c r="K16" s="13">
        <f t="shared" si="17"/>
        <v>72073.930000000008</v>
      </c>
      <c r="L16" s="13">
        <f t="shared" si="17"/>
        <v>56714.549999999996</v>
      </c>
      <c r="M16" s="13">
        <f t="shared" si="17"/>
        <v>65218.57</v>
      </c>
      <c r="N16" s="13">
        <f>SUM(B16:M16)</f>
        <v>953154.80000000016</v>
      </c>
    </row>
    <row r="17" spans="1:15" ht="24" customHeight="1" thickBot="1" x14ac:dyDescent="0.3">
      <c r="A17" s="4" t="s">
        <v>30</v>
      </c>
      <c r="B17" s="11">
        <f>51030.36+1086.74</f>
        <v>52117.1</v>
      </c>
      <c r="C17" s="11">
        <f>45831.37+1139.06</f>
        <v>46970.43</v>
      </c>
      <c r="D17" s="11">
        <f>57373.04+1309.91</f>
        <v>58682.950000000004</v>
      </c>
      <c r="E17" s="11">
        <f>48636.21+1108.7</f>
        <v>49744.909999999996</v>
      </c>
      <c r="F17" s="11">
        <f>63318.16+1186.37</f>
        <v>64504.530000000006</v>
      </c>
      <c r="G17" s="11">
        <f>52457.86+1280.91</f>
        <v>53738.770000000004</v>
      </c>
      <c r="H17" s="11">
        <f>63032.63+1342.64</f>
        <v>64375.27</v>
      </c>
      <c r="I17" s="11">
        <f>48850.58+1049.37</f>
        <v>49899.950000000004</v>
      </c>
      <c r="J17" s="11">
        <f>58648.48+1235.37</f>
        <v>59883.850000000006</v>
      </c>
      <c r="K17" s="11">
        <f>53114.8+269.7+1199.84</f>
        <v>54584.34</v>
      </c>
      <c r="L17" s="11">
        <f>49212.6+1109.84</f>
        <v>50322.439999999995</v>
      </c>
      <c r="M17" s="11">
        <f>48643.79+1134.87</f>
        <v>49778.66</v>
      </c>
      <c r="N17" s="11">
        <f t="shared" si="16"/>
        <v>654603.20000000007</v>
      </c>
    </row>
    <row r="18" spans="1:15" ht="26.25" customHeight="1" thickBot="1" x14ac:dyDescent="0.3">
      <c r="A18" s="4" t="s">
        <v>17</v>
      </c>
      <c r="B18" s="11">
        <v>8845.39</v>
      </c>
      <c r="C18" s="11">
        <v>0</v>
      </c>
      <c r="D18" s="11">
        <v>17690.78</v>
      </c>
      <c r="E18" s="11">
        <v>8845.39</v>
      </c>
      <c r="F18" s="11">
        <f>8845.39+65025.06</f>
        <v>73870.45</v>
      </c>
      <c r="G18" s="11">
        <v>8845.39</v>
      </c>
      <c r="H18" s="11">
        <v>8845.39</v>
      </c>
      <c r="I18" s="11">
        <v>0</v>
      </c>
      <c r="J18" s="11">
        <f>8845.39*2</f>
        <v>17690.78</v>
      </c>
      <c r="K18" s="11">
        <v>8845.39</v>
      </c>
      <c r="L18" s="11">
        <v>0</v>
      </c>
      <c r="M18" s="11">
        <v>8845.39</v>
      </c>
      <c r="N18" s="11">
        <f t="shared" si="16"/>
        <v>162324.35000000003</v>
      </c>
    </row>
    <row r="19" spans="1:15" ht="26.25" customHeight="1" thickBot="1" x14ac:dyDescent="0.3">
      <c r="A19" s="4" t="s">
        <v>18</v>
      </c>
      <c r="B19" s="11">
        <f>9938.87+1787.55</f>
        <v>11726.42</v>
      </c>
      <c r="C19" s="11">
        <v>7521.31</v>
      </c>
      <c r="D19" s="11">
        <f>13229.26+1454.99+2138.6</f>
        <v>16822.849999999999</v>
      </c>
      <c r="E19" s="11">
        <f>13030.23+2411.12</f>
        <v>15441.349999999999</v>
      </c>
      <c r="F19" s="11">
        <f>8135.07+1284.08+6232.59</f>
        <v>15651.74</v>
      </c>
      <c r="G19" s="11">
        <f>1336.71+18.48</f>
        <v>1355.19</v>
      </c>
      <c r="H19" s="11">
        <f>4783.39+563.52</f>
        <v>5346.91</v>
      </c>
      <c r="I19" s="11">
        <v>4792.7299999999996</v>
      </c>
      <c r="J19" s="11">
        <f>5445.8+859.13+785.23</f>
        <v>7090.16</v>
      </c>
      <c r="K19" s="11">
        <f>5178.01+863.75</f>
        <v>6041.76</v>
      </c>
      <c r="L19" s="11">
        <f>4557.16+817.56</f>
        <v>5374.7199999999993</v>
      </c>
      <c r="M19" s="11">
        <f>3195.76+618.95</f>
        <v>3814.71</v>
      </c>
      <c r="N19" s="11">
        <f t="shared" si="16"/>
        <v>100979.85</v>
      </c>
    </row>
    <row r="20" spans="1:15" ht="26.25" customHeight="1" thickBot="1" x14ac:dyDescent="0.3">
      <c r="A20" s="4" t="s">
        <v>19</v>
      </c>
      <c r="B20" s="11">
        <f>157.28+27.71</f>
        <v>184.99</v>
      </c>
      <c r="C20" s="11">
        <v>141.22999999999999</v>
      </c>
      <c r="D20" s="11">
        <f>176.79+27.71+27.71</f>
        <v>232.21</v>
      </c>
      <c r="E20" s="11">
        <f>149.79+27.71</f>
        <v>177.5</v>
      </c>
      <c r="F20" s="11">
        <f>229.54+27.71+79.86</f>
        <v>337.11</v>
      </c>
      <c r="G20" s="11">
        <f>161.63+27.71</f>
        <v>189.34</v>
      </c>
      <c r="H20" s="11">
        <f>194.17+27.71</f>
        <v>221.88</v>
      </c>
      <c r="I20" s="11">
        <v>165.2</v>
      </c>
      <c r="J20" s="11">
        <f>198.01+64.66</f>
        <v>262.66999999999996</v>
      </c>
      <c r="K20" s="11">
        <f>180.66+32.33</f>
        <v>212.99</v>
      </c>
      <c r="L20" s="11">
        <f>167.38+32.33</f>
        <v>199.70999999999998</v>
      </c>
      <c r="M20" s="11">
        <f>165.39+32.33</f>
        <v>197.71999999999997</v>
      </c>
      <c r="N20" s="11">
        <f t="shared" si="16"/>
        <v>2522.5499999999997</v>
      </c>
    </row>
    <row r="21" spans="1:15" ht="26.25" customHeight="1" thickBot="1" x14ac:dyDescent="0.3">
      <c r="A21" s="4" t="s">
        <v>20</v>
      </c>
      <c r="B21" s="11">
        <f>255.07+822.18</f>
        <v>1077.25</v>
      </c>
      <c r="C21" s="11">
        <v>2665.05</v>
      </c>
      <c r="D21" s="11">
        <f>398.13+521.95</f>
        <v>920.08</v>
      </c>
      <c r="E21" s="11">
        <v>83.17</v>
      </c>
      <c r="F21" s="11">
        <f>722.42+250.63</f>
        <v>973.05</v>
      </c>
      <c r="G21" s="11">
        <f>106.2+13.86</f>
        <v>120.06</v>
      </c>
      <c r="H21" s="11">
        <v>65.41</v>
      </c>
      <c r="I21" s="11">
        <v>3453.71</v>
      </c>
      <c r="J21" s="11">
        <f>5549.03+665.14+933.04</f>
        <v>7147.21</v>
      </c>
      <c r="K21" s="11">
        <f>872.75+92.38</f>
        <v>965.13</v>
      </c>
      <c r="L21" s="11">
        <v>20.11</v>
      </c>
      <c r="M21" s="11">
        <v>30.06</v>
      </c>
      <c r="N21" s="11">
        <f t="shared" si="16"/>
        <v>17520.290000000005</v>
      </c>
    </row>
    <row r="22" spans="1:15" ht="26.25" hidden="1" customHeight="1" thickBot="1" x14ac:dyDescent="0.3">
      <c r="A22" s="4" t="s">
        <v>27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>
        <f t="shared" si="16"/>
        <v>0</v>
      </c>
    </row>
    <row r="23" spans="1:15" ht="26.25" customHeight="1" thickBot="1" x14ac:dyDescent="0.3">
      <c r="A23" s="4" t="s">
        <v>28</v>
      </c>
      <c r="B23" s="11">
        <f>303.27+50.81</f>
        <v>354.08</v>
      </c>
      <c r="C23" s="11">
        <v>272.33999999999997</v>
      </c>
      <c r="D23" s="11">
        <f>340.93+50.81*2</f>
        <v>442.55</v>
      </c>
      <c r="E23" s="11">
        <f>288.96+50.81</f>
        <v>339.77</v>
      </c>
      <c r="F23" s="11">
        <f>365.52+50.81+317.2</f>
        <v>733.53</v>
      </c>
      <c r="G23" s="11">
        <f>311.74+50.81</f>
        <v>362.55</v>
      </c>
      <c r="H23" s="11">
        <f>374.56+50.81</f>
        <v>425.37</v>
      </c>
      <c r="I23" s="11">
        <v>332.34</v>
      </c>
      <c r="J23" s="11">
        <f>398.01+120.1</f>
        <v>518.11</v>
      </c>
      <c r="K23" s="11">
        <f>364.27+60.05</f>
        <v>424.32</v>
      </c>
      <c r="L23" s="11">
        <f>337.52+60.05</f>
        <v>397.57</v>
      </c>
      <c r="M23" s="11">
        <f>827.32+124.71</f>
        <v>952.03000000000009</v>
      </c>
      <c r="N23" s="11">
        <f t="shared" si="16"/>
        <v>5554.5599999999995</v>
      </c>
    </row>
    <row r="24" spans="1:15" ht="26.25" customHeight="1" thickBot="1" x14ac:dyDescent="0.3">
      <c r="A24" s="4" t="s">
        <v>15</v>
      </c>
      <c r="B24" s="14">
        <v>2000</v>
      </c>
      <c r="C24" s="14">
        <v>400</v>
      </c>
      <c r="D24" s="14">
        <v>400</v>
      </c>
      <c r="E24" s="14">
        <v>400</v>
      </c>
      <c r="F24" s="14">
        <v>400</v>
      </c>
      <c r="G24" s="14">
        <v>400</v>
      </c>
      <c r="H24" s="14">
        <v>800</v>
      </c>
      <c r="I24" s="14">
        <v>1450</v>
      </c>
      <c r="J24" s="14">
        <v>400</v>
      </c>
      <c r="K24" s="11">
        <v>1000</v>
      </c>
      <c r="L24" s="11">
        <v>400</v>
      </c>
      <c r="M24" s="11">
        <v>1600</v>
      </c>
      <c r="N24" s="11">
        <f t="shared" si="16"/>
        <v>9650</v>
      </c>
      <c r="O24" s="3"/>
    </row>
    <row r="25" spans="1:15" ht="21.75" customHeight="1" thickBot="1" x14ac:dyDescent="0.3">
      <c r="A25" s="15" t="s">
        <v>25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7"/>
    </row>
    <row r="26" spans="1:15" ht="19.5" customHeight="1" thickBot="1" x14ac:dyDescent="0.3">
      <c r="A26" s="4" t="s">
        <v>1</v>
      </c>
      <c r="B26" s="11">
        <f>3457.2*0.6</f>
        <v>2074.3199999999997</v>
      </c>
      <c r="C26" s="11">
        <f t="shared" ref="C26:M26" si="18">3457.2*0.6</f>
        <v>2074.3199999999997</v>
      </c>
      <c r="D26" s="11">
        <f t="shared" si="18"/>
        <v>2074.3199999999997</v>
      </c>
      <c r="E26" s="11">
        <f t="shared" si="18"/>
        <v>2074.3199999999997</v>
      </c>
      <c r="F26" s="11">
        <f t="shared" si="18"/>
        <v>2074.3199999999997</v>
      </c>
      <c r="G26" s="11">
        <f t="shared" si="18"/>
        <v>2074.3199999999997</v>
      </c>
      <c r="H26" s="11">
        <f t="shared" si="18"/>
        <v>2074.3199999999997</v>
      </c>
      <c r="I26" s="11">
        <f t="shared" si="18"/>
        <v>2074.3199999999997</v>
      </c>
      <c r="J26" s="11">
        <f t="shared" si="18"/>
        <v>2074.3199999999997</v>
      </c>
      <c r="K26" s="11">
        <f t="shared" si="18"/>
        <v>2074.3199999999997</v>
      </c>
      <c r="L26" s="11">
        <f t="shared" si="18"/>
        <v>2074.3199999999997</v>
      </c>
      <c r="M26" s="11">
        <f t="shared" si="18"/>
        <v>2074.3199999999997</v>
      </c>
      <c r="N26" s="11">
        <f t="shared" ref="N26:N39" si="19">SUM(B26:M26)</f>
        <v>24891.839999999997</v>
      </c>
    </row>
    <row r="27" spans="1:15" ht="22.5" customHeight="1" thickBot="1" x14ac:dyDescent="0.3">
      <c r="A27" s="4" t="s">
        <v>2</v>
      </c>
      <c r="B27" s="11">
        <f>3457.2*0.17</f>
        <v>587.72400000000005</v>
      </c>
      <c r="C27" s="11">
        <f t="shared" ref="C27:M27" si="20">3457.2*0.17</f>
        <v>587.72400000000005</v>
      </c>
      <c r="D27" s="11">
        <f t="shared" si="20"/>
        <v>587.72400000000005</v>
      </c>
      <c r="E27" s="11">
        <f t="shared" si="20"/>
        <v>587.72400000000005</v>
      </c>
      <c r="F27" s="11">
        <f t="shared" si="20"/>
        <v>587.72400000000005</v>
      </c>
      <c r="G27" s="11">
        <f t="shared" si="20"/>
        <v>587.72400000000005</v>
      </c>
      <c r="H27" s="11">
        <f t="shared" si="20"/>
        <v>587.72400000000005</v>
      </c>
      <c r="I27" s="11">
        <f t="shared" si="20"/>
        <v>587.72400000000005</v>
      </c>
      <c r="J27" s="11">
        <f t="shared" si="20"/>
        <v>587.72400000000005</v>
      </c>
      <c r="K27" s="11">
        <f t="shared" si="20"/>
        <v>587.72400000000005</v>
      </c>
      <c r="L27" s="11">
        <f t="shared" si="20"/>
        <v>587.72400000000005</v>
      </c>
      <c r="M27" s="11">
        <f t="shared" si="20"/>
        <v>587.72400000000005</v>
      </c>
      <c r="N27" s="11">
        <f t="shared" si="19"/>
        <v>7052.688000000001</v>
      </c>
    </row>
    <row r="28" spans="1:15" ht="21" customHeight="1" thickBot="1" x14ac:dyDescent="0.3">
      <c r="A28" s="4" t="s">
        <v>3</v>
      </c>
      <c r="B28" s="11">
        <f>66960.01*2.3%</f>
        <v>1540.0802299999998</v>
      </c>
      <c r="C28" s="11">
        <f>67916.66*2.3%</f>
        <v>1562.0831800000001</v>
      </c>
      <c r="D28" s="11">
        <f>69557.83*2.3%</f>
        <v>1599.8300899999999</v>
      </c>
      <c r="E28" s="11">
        <f>62801.63*2.3%</f>
        <v>1444.43749</v>
      </c>
      <c r="F28" s="11">
        <f>55313.39*2.3%</f>
        <v>1272.2079699999999</v>
      </c>
      <c r="G28" s="11">
        <f>58461.34*2.3%</f>
        <v>1344.6108199999999</v>
      </c>
      <c r="H28" s="11">
        <f>64318.08*2.3%</f>
        <v>1479.31584</v>
      </c>
      <c r="I28" s="11">
        <v>1883.73</v>
      </c>
      <c r="J28" s="11">
        <f>60877.4*2.3%</f>
        <v>1400.1802</v>
      </c>
      <c r="K28" s="11">
        <f>60042.94*2.3%</f>
        <v>1380.9876200000001</v>
      </c>
      <c r="L28" s="11">
        <f>58918.46*2.3%</f>
        <v>1355.1245799999999</v>
      </c>
      <c r="M28" s="11">
        <f>57069.06*2.3%</f>
        <v>1312.5883799999999</v>
      </c>
      <c r="N28" s="11">
        <f t="shared" si="19"/>
        <v>17575.1764</v>
      </c>
    </row>
    <row r="29" spans="1:15" ht="23.25" customHeight="1" thickBot="1" x14ac:dyDescent="0.3">
      <c r="A29" s="4" t="s">
        <v>4</v>
      </c>
      <c r="B29" s="11">
        <f>62771.59*3%</f>
        <v>1883.1476999999998</v>
      </c>
      <c r="C29" s="11">
        <f>57570.36*3%</f>
        <v>1727.1107999999999</v>
      </c>
      <c r="D29" s="11">
        <f>72828.06*3%</f>
        <v>2184.8417999999997</v>
      </c>
      <c r="E29" s="11">
        <f>63297.06*3%</f>
        <v>1898.9117999999999</v>
      </c>
      <c r="F29" s="11">
        <f>73957.08*3%</f>
        <v>2218.7123999999999</v>
      </c>
      <c r="G29" s="11">
        <f>55655.05*3%</f>
        <v>1669.6514999999999</v>
      </c>
      <c r="H29" s="11">
        <f>69792.8*3%</f>
        <v>2093.7840000000001</v>
      </c>
      <c r="I29" s="11">
        <f>58643.93*3%</f>
        <v>1759.3179</v>
      </c>
      <c r="J29" s="11">
        <f>71474.7*3%</f>
        <v>2144.241</v>
      </c>
      <c r="K29" s="11">
        <f>61180.03*3%</f>
        <v>1835.4008999999999</v>
      </c>
      <c r="L29" s="11">
        <f>55404.61*3%</f>
        <v>1662.1382999999998</v>
      </c>
      <c r="M29" s="11">
        <f>53997.19*3%</f>
        <v>1619.9157</v>
      </c>
      <c r="N29" s="11">
        <f t="shared" si="19"/>
        <v>22697.1738</v>
      </c>
    </row>
    <row r="30" spans="1:15" ht="23.25" customHeight="1" thickBot="1" x14ac:dyDescent="0.3">
      <c r="A30" s="4" t="s">
        <v>9</v>
      </c>
      <c r="B30" s="20">
        <f>3457.2*9.7</f>
        <v>33534.839999999997</v>
      </c>
      <c r="C30" s="20">
        <f t="shared" ref="C30:M30" si="21">3457.2*9.7</f>
        <v>33534.839999999997</v>
      </c>
      <c r="D30" s="20">
        <f t="shared" si="21"/>
        <v>33534.839999999997</v>
      </c>
      <c r="E30" s="20">
        <f t="shared" si="21"/>
        <v>33534.839999999997</v>
      </c>
      <c r="F30" s="20">
        <f t="shared" si="21"/>
        <v>33534.839999999997</v>
      </c>
      <c r="G30" s="20">
        <f t="shared" si="21"/>
        <v>33534.839999999997</v>
      </c>
      <c r="H30" s="20">
        <f t="shared" si="21"/>
        <v>33534.839999999997</v>
      </c>
      <c r="I30" s="20">
        <f t="shared" si="21"/>
        <v>33534.839999999997</v>
      </c>
      <c r="J30" s="20">
        <f t="shared" si="21"/>
        <v>33534.839999999997</v>
      </c>
      <c r="K30" s="20">
        <f t="shared" si="21"/>
        <v>33534.839999999997</v>
      </c>
      <c r="L30" s="20">
        <f t="shared" si="21"/>
        <v>33534.839999999997</v>
      </c>
      <c r="M30" s="20">
        <f t="shared" si="21"/>
        <v>33534.839999999997</v>
      </c>
      <c r="N30" s="11">
        <f t="shared" si="19"/>
        <v>402418.07999999984</v>
      </c>
    </row>
    <row r="31" spans="1:15" ht="26.25" customHeight="1" thickBot="1" x14ac:dyDescent="0.3">
      <c r="A31" s="4" t="s">
        <v>21</v>
      </c>
      <c r="B31" s="11">
        <f>14196.78+1806.11</f>
        <v>16002.890000000001</v>
      </c>
      <c r="C31" s="11">
        <f>16011.67+2037</f>
        <v>18048.669999999998</v>
      </c>
      <c r="D31" s="11">
        <f>8540.75+1086.37</f>
        <v>9627.119999999999</v>
      </c>
      <c r="E31" s="11">
        <f>128.54+21.51</f>
        <v>150.04999999999998</v>
      </c>
      <c r="F31" s="11">
        <f>3741.01+475.87</f>
        <v>4216.88</v>
      </c>
      <c r="G31" s="11">
        <f>5714.85+727</f>
        <v>6441.85</v>
      </c>
      <c r="H31" s="11">
        <f>5259.56+618.71</f>
        <v>5878.27</v>
      </c>
      <c r="I31" s="11">
        <f>5777.06+679.56</f>
        <v>6456.6200000000008</v>
      </c>
      <c r="J31" s="11">
        <f>5463.04+642.62</f>
        <v>6105.66</v>
      </c>
      <c r="K31" s="11">
        <f>4145.66+487.67</f>
        <v>4633.33</v>
      </c>
      <c r="L31" s="11">
        <v>0</v>
      </c>
      <c r="M31" s="11">
        <f>178.46+21.01</f>
        <v>199.47</v>
      </c>
      <c r="N31" s="11">
        <f t="shared" si="19"/>
        <v>77760.81</v>
      </c>
    </row>
    <row r="32" spans="1:15" ht="26.25" customHeight="1" thickBot="1" x14ac:dyDescent="0.3">
      <c r="A32" s="4" t="s">
        <v>22</v>
      </c>
      <c r="B32" s="11">
        <v>305.89</v>
      </c>
      <c r="C32" s="11">
        <v>305.89</v>
      </c>
      <c r="D32" s="11">
        <v>305.89</v>
      </c>
      <c r="E32" s="11">
        <v>305.89</v>
      </c>
      <c r="F32" s="11">
        <v>305.89</v>
      </c>
      <c r="G32" s="11">
        <v>305.89</v>
      </c>
      <c r="H32" s="11">
        <v>338.09</v>
      </c>
      <c r="I32" s="11">
        <v>338.09</v>
      </c>
      <c r="J32" s="11">
        <v>338.09</v>
      </c>
      <c r="K32" s="11">
        <v>338.09</v>
      </c>
      <c r="L32" s="11">
        <v>338.09</v>
      </c>
      <c r="M32" s="11">
        <v>338.09</v>
      </c>
      <c r="N32" s="11">
        <f t="shared" si="19"/>
        <v>3863.8800000000006</v>
      </c>
    </row>
    <row r="33" spans="1:14" ht="26.25" customHeight="1" thickBot="1" x14ac:dyDescent="0.3">
      <c r="A33" s="4" t="s">
        <v>23</v>
      </c>
      <c r="B33" s="11">
        <v>0</v>
      </c>
      <c r="C33" s="11">
        <v>0</v>
      </c>
      <c r="D33" s="11">
        <v>0</v>
      </c>
      <c r="E33" s="11">
        <v>142.80000000000001</v>
      </c>
      <c r="F33" s="11">
        <v>0</v>
      </c>
      <c r="G33" s="11">
        <v>4992.92</v>
      </c>
      <c r="H33" s="11">
        <v>6977.8</v>
      </c>
      <c r="I33" s="11">
        <v>689.45</v>
      </c>
      <c r="J33" s="11">
        <v>0</v>
      </c>
      <c r="K33" s="11">
        <v>0</v>
      </c>
      <c r="L33" s="11">
        <v>0</v>
      </c>
      <c r="M33" s="11">
        <v>811.76</v>
      </c>
      <c r="N33" s="11">
        <f t="shared" si="19"/>
        <v>13614.730000000001</v>
      </c>
    </row>
    <row r="34" spans="1:14" ht="26.25" customHeight="1" thickBot="1" x14ac:dyDescent="0.3">
      <c r="A34" s="4" t="s">
        <v>28</v>
      </c>
      <c r="B34" s="11">
        <v>393.5</v>
      </c>
      <c r="C34" s="11">
        <v>393.5</v>
      </c>
      <c r="D34" s="11">
        <v>393.5</v>
      </c>
      <c r="E34" s="11">
        <v>393.5</v>
      </c>
      <c r="F34" s="11">
        <v>393.5</v>
      </c>
      <c r="G34" s="11">
        <v>393.5</v>
      </c>
      <c r="H34" s="11">
        <f>227.41+216.82</f>
        <v>444.23</v>
      </c>
      <c r="I34" s="11">
        <f>227.41+761.04</f>
        <v>988.44999999999993</v>
      </c>
      <c r="J34" s="11">
        <f>227.41+1693.12</f>
        <v>1920.53</v>
      </c>
      <c r="K34" s="11">
        <f>227.41+514.01</f>
        <v>741.42</v>
      </c>
      <c r="L34" s="11">
        <v>227.41</v>
      </c>
      <c r="M34" s="11">
        <f>227.41+762.29</f>
        <v>989.69999999999993</v>
      </c>
      <c r="N34" s="11">
        <f t="shared" si="19"/>
        <v>7672.74</v>
      </c>
    </row>
    <row r="35" spans="1:14" ht="22.5" customHeight="1" thickBot="1" x14ac:dyDescent="0.3">
      <c r="A35" s="4" t="s">
        <v>6</v>
      </c>
      <c r="B35" s="11">
        <f>3457.2*2.87</f>
        <v>9922.1640000000007</v>
      </c>
      <c r="C35" s="11">
        <f t="shared" ref="C35:M35" si="22">3457.2*2.87</f>
        <v>9922.1640000000007</v>
      </c>
      <c r="D35" s="11">
        <f t="shared" si="22"/>
        <v>9922.1640000000007</v>
      </c>
      <c r="E35" s="11">
        <f t="shared" si="22"/>
        <v>9922.1640000000007</v>
      </c>
      <c r="F35" s="11">
        <f t="shared" si="22"/>
        <v>9922.1640000000007</v>
      </c>
      <c r="G35" s="11">
        <f t="shared" si="22"/>
        <v>9922.1640000000007</v>
      </c>
      <c r="H35" s="11">
        <f t="shared" si="22"/>
        <v>9922.1640000000007</v>
      </c>
      <c r="I35" s="11">
        <f t="shared" si="22"/>
        <v>9922.1640000000007</v>
      </c>
      <c r="J35" s="11">
        <f t="shared" si="22"/>
        <v>9922.1640000000007</v>
      </c>
      <c r="K35" s="11">
        <f t="shared" si="22"/>
        <v>9922.1640000000007</v>
      </c>
      <c r="L35" s="11">
        <f t="shared" si="22"/>
        <v>9922.1640000000007</v>
      </c>
      <c r="M35" s="11">
        <f t="shared" si="22"/>
        <v>9922.1640000000007</v>
      </c>
      <c r="N35" s="11">
        <f t="shared" si="19"/>
        <v>119065.96800000004</v>
      </c>
    </row>
    <row r="36" spans="1:14" ht="21.75" hidden="1" customHeight="1" thickBot="1" x14ac:dyDescent="0.3">
      <c r="A36" s="4" t="s">
        <v>27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>
        <f t="shared" si="19"/>
        <v>0</v>
      </c>
    </row>
    <row r="37" spans="1:14" ht="24.75" customHeight="1" thickBot="1" x14ac:dyDescent="0.3">
      <c r="A37" s="4" t="s">
        <v>26</v>
      </c>
      <c r="B37" s="11">
        <v>900</v>
      </c>
      <c r="C37" s="11">
        <v>900</v>
      </c>
      <c r="D37" s="11">
        <v>900</v>
      </c>
      <c r="E37" s="11">
        <v>900</v>
      </c>
      <c r="F37" s="11">
        <v>900</v>
      </c>
      <c r="G37" s="11">
        <v>900</v>
      </c>
      <c r="H37" s="11">
        <v>900</v>
      </c>
      <c r="I37" s="11">
        <v>900</v>
      </c>
      <c r="J37" s="11">
        <v>900</v>
      </c>
      <c r="K37" s="11">
        <v>900</v>
      </c>
      <c r="L37" s="11">
        <v>900</v>
      </c>
      <c r="M37" s="11">
        <v>900</v>
      </c>
      <c r="N37" s="11">
        <f t="shared" si="19"/>
        <v>10800</v>
      </c>
    </row>
    <row r="38" spans="1:14" ht="24.75" customHeight="1" thickBot="1" x14ac:dyDescent="0.3">
      <c r="A38" s="4" t="s">
        <v>14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16069.44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f t="shared" si="19"/>
        <v>16069.44</v>
      </c>
    </row>
    <row r="39" spans="1:14" ht="24" customHeight="1" thickBot="1" x14ac:dyDescent="0.3">
      <c r="A39" s="4" t="s">
        <v>10</v>
      </c>
      <c r="B39" s="11">
        <f>1500</f>
        <v>1500</v>
      </c>
      <c r="C39" s="11">
        <v>0</v>
      </c>
      <c r="D39" s="11">
        <f>1500</f>
        <v>1500</v>
      </c>
      <c r="E39" s="11">
        <f>324.6</f>
        <v>324.60000000000002</v>
      </c>
      <c r="F39" s="11">
        <f>14442.2+4049.3</f>
        <v>18491.5</v>
      </c>
      <c r="G39" s="11">
        <f>4842.7</f>
        <v>4842.7</v>
      </c>
      <c r="H39" s="11">
        <f>3347.9</f>
        <v>3347.9</v>
      </c>
      <c r="I39" s="11">
        <v>0</v>
      </c>
      <c r="J39" s="11">
        <v>0</v>
      </c>
      <c r="K39" s="11">
        <f>525</f>
        <v>525</v>
      </c>
      <c r="L39" s="11">
        <f>19813.4</f>
        <v>19813.400000000001</v>
      </c>
      <c r="M39" s="11">
        <f>12952+9601.1+844.1</f>
        <v>23397.199999999997</v>
      </c>
      <c r="N39" s="11">
        <f t="shared" si="19"/>
        <v>73742.3</v>
      </c>
    </row>
    <row r="40" spans="1:14" ht="25.2" customHeight="1" thickBot="1" x14ac:dyDescent="0.3">
      <c r="A40" s="9" t="s">
        <v>24</v>
      </c>
      <c r="B40" s="10">
        <f>SUM(B26:B39)</f>
        <v>68644.555930000002</v>
      </c>
      <c r="C40" s="10">
        <f>SUM(C26:C39)</f>
        <v>69056.301979999989</v>
      </c>
      <c r="D40" s="10">
        <f t="shared" ref="D40:M40" si="23">SUM(D26:D39)</f>
        <v>62630.229890000002</v>
      </c>
      <c r="E40" s="10">
        <f t="shared" si="23"/>
        <v>51679.237289999997</v>
      </c>
      <c r="F40" s="10">
        <f t="shared" si="23"/>
        <v>73917.738369999992</v>
      </c>
      <c r="G40" s="10">
        <f t="shared" si="23"/>
        <v>67010.17031999999</v>
      </c>
      <c r="H40" s="10">
        <f t="shared" si="23"/>
        <v>83647.877840000001</v>
      </c>
      <c r="I40" s="10">
        <f t="shared" si="23"/>
        <v>59134.705899999986</v>
      </c>
      <c r="J40" s="10">
        <f t="shared" si="23"/>
        <v>58927.749199999991</v>
      </c>
      <c r="K40" s="10">
        <f t="shared" si="23"/>
        <v>56473.276519999999</v>
      </c>
      <c r="L40" s="10">
        <f t="shared" si="23"/>
        <v>70415.210879999999</v>
      </c>
      <c r="M40" s="10">
        <f t="shared" si="23"/>
        <v>75687.772079999995</v>
      </c>
      <c r="N40" s="10">
        <f>SUM(B40:M40)</f>
        <v>797224.82619999989</v>
      </c>
    </row>
    <row r="41" spans="1:14" ht="24" customHeight="1" thickBot="1" x14ac:dyDescent="0.3">
      <c r="A41" s="4" t="s">
        <v>5</v>
      </c>
      <c r="B41" s="18">
        <f t="shared" ref="B41:N41" si="24">B16-B40</f>
        <v>7660.6740700000082</v>
      </c>
      <c r="C41" s="18">
        <f t="shared" si="24"/>
        <v>-11085.941979999989</v>
      </c>
      <c r="D41" s="18">
        <f t="shared" si="24"/>
        <v>32561.190110000025</v>
      </c>
      <c r="E41" s="18">
        <f t="shared" si="24"/>
        <v>23352.852709999999</v>
      </c>
      <c r="F41" s="18">
        <f t="shared" si="24"/>
        <v>82552.671629999983</v>
      </c>
      <c r="G41" s="18">
        <f t="shared" si="24"/>
        <v>-1998.8703199999873</v>
      </c>
      <c r="H41" s="18">
        <f t="shared" si="24"/>
        <v>-3567.6478399999905</v>
      </c>
      <c r="I41" s="18">
        <f t="shared" si="24"/>
        <v>959.224100000014</v>
      </c>
      <c r="J41" s="18">
        <f t="shared" si="24"/>
        <v>34065.030800000022</v>
      </c>
      <c r="K41" s="18">
        <f t="shared" si="24"/>
        <v>15600.653480000008</v>
      </c>
      <c r="L41" s="18">
        <f t="shared" si="24"/>
        <v>-13700.660880000003</v>
      </c>
      <c r="M41" s="18">
        <f t="shared" si="24"/>
        <v>-10469.202079999995</v>
      </c>
      <c r="N41" s="18">
        <f t="shared" si="24"/>
        <v>155929.97380000027</v>
      </c>
    </row>
    <row r="42" spans="1:14" ht="24.6" customHeight="1" thickBot="1" x14ac:dyDescent="0.3">
      <c r="A42" s="4" t="s">
        <v>7</v>
      </c>
      <c r="B42" s="14">
        <f t="shared" ref="B42:N42" si="25">B5+B41</f>
        <v>-523513.10593000002</v>
      </c>
      <c r="C42" s="14">
        <f t="shared" si="25"/>
        <v>-534599.04790999996</v>
      </c>
      <c r="D42" s="14">
        <f t="shared" si="25"/>
        <v>-502037.85779999994</v>
      </c>
      <c r="E42" s="14">
        <f t="shared" si="25"/>
        <v>-478685.00508999993</v>
      </c>
      <c r="F42" s="14">
        <f t="shared" si="25"/>
        <v>-396132.33345999994</v>
      </c>
      <c r="G42" s="14">
        <f t="shared" si="25"/>
        <v>-398131.20377999992</v>
      </c>
      <c r="H42" s="14">
        <f t="shared" si="25"/>
        <v>-401698.85161999991</v>
      </c>
      <c r="I42" s="14">
        <f t="shared" si="25"/>
        <v>-400739.62751999992</v>
      </c>
      <c r="J42" s="14">
        <f t="shared" si="25"/>
        <v>-366674.59671999991</v>
      </c>
      <c r="K42" s="14">
        <f t="shared" si="25"/>
        <v>-351073.94323999994</v>
      </c>
      <c r="L42" s="14">
        <f t="shared" si="25"/>
        <v>-364774.60411999992</v>
      </c>
      <c r="M42" s="14">
        <f t="shared" si="25"/>
        <v>-375243.80619999993</v>
      </c>
      <c r="N42" s="14">
        <f t="shared" si="25"/>
        <v>-375243.80619999976</v>
      </c>
    </row>
    <row r="43" spans="1:14" ht="24.6" customHeight="1" thickBot="1" x14ac:dyDescent="0.3">
      <c r="A43" s="4" t="s">
        <v>44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2314.25</v>
      </c>
      <c r="J43" s="11">
        <v>0</v>
      </c>
      <c r="K43" s="11">
        <v>0</v>
      </c>
      <c r="L43" s="11">
        <v>0</v>
      </c>
      <c r="M43" s="11">
        <v>0</v>
      </c>
      <c r="N43" s="11">
        <f>SUM(B43:M43)</f>
        <v>2314.25</v>
      </c>
    </row>
    <row r="44" spans="1:14" ht="28.2" customHeight="1" thickBot="1" x14ac:dyDescent="0.3">
      <c r="A44" s="15" t="s">
        <v>11</v>
      </c>
      <c r="B44" s="19">
        <f t="shared" ref="B44:H44" si="26">B6+B16-B7</f>
        <v>-187388.87999999998</v>
      </c>
      <c r="C44" s="19">
        <f t="shared" si="26"/>
        <v>-214379.8</v>
      </c>
      <c r="D44" s="19">
        <f t="shared" si="26"/>
        <v>-206194.21999999997</v>
      </c>
      <c r="E44" s="19">
        <f t="shared" si="26"/>
        <v>-209743.52999999997</v>
      </c>
      <c r="F44" s="19">
        <f t="shared" si="26"/>
        <v>-122513.46</v>
      </c>
      <c r="G44" s="19">
        <f t="shared" si="26"/>
        <v>-130676.71</v>
      </c>
      <c r="H44" s="19">
        <f t="shared" si="26"/>
        <v>-131070.37</v>
      </c>
      <c r="I44" s="19">
        <f>I6+I16-I7+I43</f>
        <v>-150563.59000000003</v>
      </c>
      <c r="J44" s="19">
        <f t="shared" ref="J44:M44" si="27">J6+J16-J7+J43</f>
        <v>-133763.07</v>
      </c>
      <c r="K44" s="19">
        <f t="shared" si="27"/>
        <v>-136841.83000000002</v>
      </c>
      <c r="L44" s="19">
        <f t="shared" si="27"/>
        <v>-153957.22000000003</v>
      </c>
      <c r="M44" s="19">
        <f t="shared" si="27"/>
        <v>-159673.12000000002</v>
      </c>
      <c r="N44" s="19">
        <f>N6+N16-N7+N43</f>
        <v>-159673.11999999976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2025-03-17T03:17:36Z</cp:lastPrinted>
  <dcterms:created xsi:type="dcterms:W3CDTF">2011-06-06T03:25:48Z</dcterms:created>
  <dcterms:modified xsi:type="dcterms:W3CDTF">2025-03-17T03:24:17Z</dcterms:modified>
</cp:coreProperties>
</file>