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48" i="1" l="1"/>
  <c r="N48" i="1"/>
  <c r="L48" i="1"/>
  <c r="M43" i="1" l="1"/>
  <c r="L43" i="1" l="1"/>
  <c r="K43" i="1" l="1"/>
  <c r="M41" i="1" l="1"/>
  <c r="L41" i="1"/>
  <c r="K41" i="1"/>
  <c r="K36" i="1" l="1"/>
  <c r="L36" i="1"/>
  <c r="M36" i="1"/>
  <c r="K33" i="1"/>
  <c r="L33" i="1"/>
  <c r="M33" i="1"/>
  <c r="M31" i="1" l="1"/>
  <c r="M18" i="1"/>
  <c r="M30" i="1"/>
  <c r="M8" i="1"/>
  <c r="L31" i="1" l="1"/>
  <c r="L18" i="1"/>
  <c r="L30" i="1"/>
  <c r="L8" i="1"/>
  <c r="N47" i="1"/>
  <c r="K31" i="1" l="1"/>
  <c r="K18" i="1"/>
  <c r="K30" i="1"/>
  <c r="K8" i="1"/>
  <c r="K37" i="1" l="1"/>
  <c r="L37" i="1"/>
  <c r="M37" i="1"/>
  <c r="K32" i="1"/>
  <c r="L32" i="1"/>
  <c r="M32" i="1"/>
  <c r="K29" i="1"/>
  <c r="L29" i="1"/>
  <c r="M29" i="1"/>
  <c r="K28" i="1"/>
  <c r="L28" i="1"/>
  <c r="M28" i="1"/>
  <c r="J12" i="1" l="1"/>
  <c r="I12" i="1"/>
  <c r="H12" i="1"/>
  <c r="H11" i="1"/>
  <c r="J36" i="1" l="1"/>
  <c r="I36" i="1"/>
  <c r="H36" i="1"/>
  <c r="I33" i="1" l="1"/>
  <c r="J33" i="1"/>
  <c r="H33" i="1"/>
  <c r="J41" i="1" l="1"/>
  <c r="I41" i="1"/>
  <c r="H41" i="1"/>
  <c r="J31" i="1" l="1"/>
  <c r="J18" i="1"/>
  <c r="J30" i="1"/>
  <c r="J8" i="1"/>
  <c r="I31" i="1" l="1"/>
  <c r="I18" i="1"/>
  <c r="I30" i="1"/>
  <c r="I8" i="1"/>
  <c r="H31" i="1" l="1"/>
  <c r="H18" i="1"/>
  <c r="H30" i="1"/>
  <c r="H8" i="1"/>
  <c r="I37" i="1" l="1"/>
  <c r="J37" i="1"/>
  <c r="H37" i="1"/>
  <c r="H32" i="1" l="1"/>
  <c r="I32" i="1"/>
  <c r="J32" i="1"/>
  <c r="H29" i="1"/>
  <c r="I29" i="1"/>
  <c r="J29" i="1"/>
  <c r="H28" i="1"/>
  <c r="I28" i="1"/>
  <c r="J28" i="1"/>
  <c r="F12" i="1" l="1"/>
  <c r="N41" i="1" l="1"/>
  <c r="G33" i="1" l="1"/>
  <c r="F33" i="1"/>
  <c r="E33" i="1"/>
  <c r="G41" i="1" l="1"/>
  <c r="F41" i="1"/>
  <c r="E41" i="1"/>
  <c r="F43" i="1" l="1"/>
  <c r="G31" i="1" l="1"/>
  <c r="G18" i="1"/>
  <c r="G30" i="1"/>
  <c r="G8" i="1"/>
  <c r="F31" i="1" l="1"/>
  <c r="F18" i="1"/>
  <c r="F30" i="1"/>
  <c r="F8" i="1"/>
  <c r="E31" i="1" l="1"/>
  <c r="E18" i="1"/>
  <c r="E30" i="1"/>
  <c r="E8" i="1"/>
  <c r="E37" i="1" l="1"/>
  <c r="F37" i="1"/>
  <c r="G37" i="1"/>
  <c r="E32" i="1"/>
  <c r="F32" i="1"/>
  <c r="G32" i="1"/>
  <c r="E29" i="1"/>
  <c r="F29" i="1"/>
  <c r="G29" i="1"/>
  <c r="E28" i="1"/>
  <c r="F28" i="1"/>
  <c r="G28" i="1"/>
  <c r="C43" i="1" l="1"/>
  <c r="D43" i="1" l="1"/>
  <c r="D33" i="1" l="1"/>
  <c r="C33" i="1"/>
  <c r="B33" i="1"/>
  <c r="D31" i="1" l="1"/>
  <c r="D18" i="1"/>
  <c r="D30" i="1"/>
  <c r="D8" i="1"/>
  <c r="C31" i="1" l="1"/>
  <c r="C18" i="1"/>
  <c r="C30" i="1"/>
  <c r="C8" i="1"/>
  <c r="B31" i="1" l="1"/>
  <c r="B18" i="1"/>
  <c r="B30" i="1"/>
  <c r="B8" i="1"/>
  <c r="C37" i="1"/>
  <c r="D37" i="1"/>
  <c r="C32" i="1"/>
  <c r="D32" i="1"/>
  <c r="C29" i="1"/>
  <c r="D29" i="1"/>
  <c r="C28" i="1"/>
  <c r="D28" i="1"/>
  <c r="B37" i="1" l="1"/>
  <c r="B32" i="1"/>
  <c r="B29" i="1"/>
  <c r="B28" i="1"/>
  <c r="N43" i="1" l="1"/>
  <c r="N42" i="1" l="1"/>
  <c r="N40" i="1"/>
  <c r="N38" i="1" l="1"/>
  <c r="N36" i="1" l="1"/>
  <c r="N9" i="1" l="1"/>
  <c r="N19" i="1"/>
  <c r="N16" i="1" l="1"/>
  <c r="N6" i="1" l="1"/>
  <c r="N5" i="1"/>
  <c r="N28" i="1" l="1"/>
  <c r="N29" i="1"/>
  <c r="N32" i="1"/>
  <c r="N33" i="1"/>
  <c r="N34" i="1"/>
  <c r="N35" i="1"/>
  <c r="N37" i="1"/>
  <c r="N39" i="1"/>
  <c r="N20" i="1"/>
  <c r="N21" i="1"/>
  <c r="N22" i="1"/>
  <c r="N23" i="1"/>
  <c r="N24" i="1"/>
  <c r="N25" i="1"/>
  <c r="N26" i="1"/>
  <c r="K17" i="1"/>
  <c r="L17" i="1"/>
  <c r="M17" i="1"/>
  <c r="N10" i="1"/>
  <c r="N11" i="1"/>
  <c r="N12" i="1"/>
  <c r="N13" i="1"/>
  <c r="N14" i="1"/>
  <c r="N15" i="1"/>
  <c r="K7" i="1"/>
  <c r="L7" i="1"/>
  <c r="M7" i="1"/>
  <c r="M44" i="1" l="1"/>
  <c r="M45" i="1" s="1"/>
  <c r="L44" i="1"/>
  <c r="L45" i="1" s="1"/>
  <c r="K44" i="1"/>
  <c r="K45" i="1" l="1"/>
  <c r="H17" i="1" l="1"/>
  <c r="I17" i="1"/>
  <c r="J17" i="1"/>
  <c r="H7" i="1"/>
  <c r="I7" i="1"/>
  <c r="J7" i="1"/>
  <c r="G17" i="1"/>
  <c r="G7" i="1"/>
  <c r="F17" i="1"/>
  <c r="F7" i="1"/>
  <c r="N31" i="1"/>
  <c r="N30" i="1"/>
  <c r="N8" i="1"/>
  <c r="D17" i="1"/>
  <c r="D7" i="1"/>
  <c r="C17" i="1"/>
  <c r="C7" i="1"/>
  <c r="B17" i="1"/>
  <c r="B7" i="1"/>
  <c r="G44" i="1" l="1"/>
  <c r="G45" i="1" s="1"/>
  <c r="H44" i="1"/>
  <c r="H45" i="1" s="1"/>
  <c r="D44" i="1"/>
  <c r="D45" i="1" s="1"/>
  <c r="C44" i="1"/>
  <c r="C45" i="1" s="1"/>
  <c r="E17" i="1"/>
  <c r="N18" i="1"/>
  <c r="I44" i="1"/>
  <c r="I45" i="1" s="1"/>
  <c r="J44" i="1"/>
  <c r="J45" i="1" s="1"/>
  <c r="F44" i="1"/>
  <c r="F45" i="1" s="1"/>
  <c r="E7" i="1"/>
  <c r="N7" i="1" s="1"/>
  <c r="E44" i="1" l="1"/>
  <c r="E45" i="1" s="1"/>
  <c r="N17" i="1"/>
  <c r="B44" i="1"/>
  <c r="B48" i="1"/>
  <c r="C6" i="1" s="1"/>
  <c r="C48" i="1" s="1"/>
  <c r="N44" i="1" l="1"/>
  <c r="D6" i="1"/>
  <c r="B45" i="1"/>
  <c r="B46" i="1" s="1"/>
  <c r="D48" i="1" l="1"/>
  <c r="E6" i="1" s="1"/>
  <c r="N45" i="1"/>
  <c r="N46" i="1" s="1"/>
  <c r="E48" i="1" l="1"/>
  <c r="F6" i="1" s="1"/>
  <c r="C5" i="1"/>
  <c r="C46" i="1" s="1"/>
  <c r="F48" i="1" l="1"/>
  <c r="G6" i="1" s="1"/>
  <c r="G48" i="1" s="1"/>
  <c r="D5" i="1"/>
  <c r="D46" i="1" s="1"/>
  <c r="H6" i="1" l="1"/>
  <c r="H48" i="1" s="1"/>
  <c r="E5" i="1"/>
  <c r="E46" i="1" s="1"/>
  <c r="I6" i="1" l="1"/>
  <c r="F5" i="1"/>
  <c r="F46" i="1" s="1"/>
  <c r="I48" i="1" l="1"/>
  <c r="J6" i="1" s="1"/>
  <c r="G5" i="1"/>
  <c r="G46" i="1" s="1"/>
  <c r="J48" i="1" l="1"/>
  <c r="K6" i="1" s="1"/>
  <c r="H5" i="1"/>
  <c r="H46" i="1" s="1"/>
  <c r="K48" i="1" l="1"/>
  <c r="L6" i="1" s="1"/>
  <c r="I5" i="1"/>
  <c r="I46" i="1" s="1"/>
  <c r="J5" i="1" l="1"/>
  <c r="J46" i="1" s="1"/>
  <c r="M6" i="1" l="1"/>
  <c r="K5" i="1"/>
  <c r="K46" i="1" s="1"/>
  <c r="L5" i="1" l="1"/>
  <c r="L46" i="1" s="1"/>
  <c r="M5" i="1" l="1"/>
  <c r="M46" i="1" s="1"/>
</calcChain>
</file>

<file path=xl/sharedStrings.xml><?xml version="1.0" encoding="utf-8"?>
<sst xmlns="http://schemas.openxmlformats.org/spreadsheetml/2006/main" count="59" uniqueCount="50">
  <si>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</si>
  <si>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</si>
  <si>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</si>
  <si>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</si>
  <si>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</si>
  <si>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</si>
  <si>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</si>
  <si>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</si>
  <si>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</si>
  <si>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</si>
  <si>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</si>
  <si>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</si>
  <si>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</si>
  <si>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</si>
  <si>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</si>
  <si>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</si>
  <si>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</si>
  <si>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</si>
  <si>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</si>
  <si>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</si>
  <si>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</si>
  <si>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</si>
  <si>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</si>
  <si>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</si>
  <si>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</si>
  <si>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</si>
  <si>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Содержание жилья и текущий ремонт / нежилые</t>
  </si>
  <si>
    <t>Содержание жилья и текущий ремонт  / нежилые</t>
  </si>
  <si>
    <t>Отведение сточных вод на ОИ</t>
  </si>
  <si>
    <t>Установка пластиковых окон</t>
  </si>
  <si>
    <t xml:space="preserve">Периодическое техническое освидетельствование  лифтов </t>
  </si>
  <si>
    <t>Содержание жилья и текущий ремонт,  ОПУ</t>
  </si>
  <si>
    <t>Содержание жилья и текущий ремонт,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</si>
  <si>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</si>
  <si>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</si>
  <si>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</si>
  <si>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</si>
  <si>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</si>
  <si>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</si>
  <si>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</si>
  <si>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</si>
  <si>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</si>
  <si>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</si>
  <si>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</si>
  <si>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</si>
  <si>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</si>
  <si>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</si>
  <si>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</si>
  <si>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               ОТЧЕТ по дому Ленинградская, 57/1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</si>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</sst>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topLeftCell="B41" zoomScale="75" workbookViewId="0">
      <selection activeCell="L48" sqref="L48:N48"/>
    </sheetView>
  </sheetViews>
  <sheetFormatPr defaultRowHeight="13.2" x14ac:dyDescent="0.25"/>
  <cols>
    <col min="1" max="1" width="58.6640625" customWidth="1"/>
    <col min="2" max="3" width="13.88671875" customWidth="1"/>
    <col min="4" max="4" width="13.6640625" customWidth="1"/>
    <col min="5" max="5" width="13.88671875" customWidth="1"/>
    <col min="6" max="6" width="13.5546875" customWidth="1"/>
    <col min="7" max="7" width="13.44140625" customWidth="1"/>
    <col min="8" max="9" width="13.88671875" customWidth="1"/>
    <col min="10" max="13" width="14.6640625" customWidth="1"/>
    <col min="14" max="14" width="16.109375" customWidth="1"/>
  </cols>
  <sheetData>
    <row r="1" spans="1:18" ht="20.25" customHeight="1" x14ac:dyDescent="0.35">
      <c r="A1" s="20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33</v>
      </c>
      <c r="C4" s="6" t="s">
        <v>34</v>
      </c>
      <c r="D4" s="6" t="s">
        <v>35</v>
      </c>
      <c r="E4" s="6" t="s">
        <v>36</v>
      </c>
      <c r="F4" s="6" t="s">
        <v>37</v>
      </c>
      <c r="G4" s="6" t="s">
        <v>38</v>
      </c>
      <c r="H4" s="6" t="s">
        <v>39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44</v>
      </c>
      <c r="N4" s="6" t="s">
        <v>45</v>
      </c>
    </row>
    <row r="5" spans="1:18" ht="23.25" customHeight="1" thickBot="1" x14ac:dyDescent="0.3">
      <c r="A5" s="7" t="s">
        <v>15</v>
      </c>
      <c r="B5" s="8">
        <v>-352083.76</v>
      </c>
      <c r="C5" s="8">
        <f t="shared" ref="C5:D5" si="0">B46</f>
        <v>-350297.56299000001</v>
      </c>
      <c r="D5" s="8">
        <f t="shared" si="0"/>
        <v>-334961.80239000003</v>
      </c>
      <c r="E5" s="8">
        <f t="shared" ref="E5:J5" si="1">D46</f>
        <v>-320501.80370000005</v>
      </c>
      <c r="F5" s="8">
        <f t="shared" si="1"/>
        <v>-315510.51386000006</v>
      </c>
      <c r="G5" s="8">
        <f t="shared" si="1"/>
        <v>-312772.81652000005</v>
      </c>
      <c r="H5" s="8">
        <f t="shared" si="1"/>
        <v>-300258.52875000006</v>
      </c>
      <c r="I5" s="8">
        <f t="shared" si="1"/>
        <v>-294271.71980000008</v>
      </c>
      <c r="J5" s="8">
        <f t="shared" si="1"/>
        <v>-272350.36646000011</v>
      </c>
      <c r="K5" s="8">
        <f t="shared" ref="K5" si="2">J46</f>
        <v>-266149.08309000009</v>
      </c>
      <c r="L5" s="8">
        <f t="shared" ref="L5" si="3">K46</f>
        <v>-252499.60225000008</v>
      </c>
      <c r="M5" s="8">
        <f t="shared" ref="M5" si="4">L46</f>
        <v>-260157.13400000008</v>
      </c>
      <c r="N5" s="8">
        <f>B5</f>
        <v>-352083.76</v>
      </c>
    </row>
    <row r="6" spans="1:18" ht="21" customHeight="1" thickBot="1" x14ac:dyDescent="0.3">
      <c r="A6" s="7" t="s">
        <v>13</v>
      </c>
      <c r="B6" s="8">
        <v>-190901.94</v>
      </c>
      <c r="C6" s="8">
        <f>B48</f>
        <v>-207210.2</v>
      </c>
      <c r="D6" s="8">
        <f>C48</f>
        <v>-208517.44000000003</v>
      </c>
      <c r="E6" s="8">
        <f>D48</f>
        <v>-204832.25000000003</v>
      </c>
      <c r="F6" s="8">
        <f t="shared" ref="F6" si="5">E48</f>
        <v>-195700.68000000002</v>
      </c>
      <c r="G6" s="8">
        <f t="shared" ref="G6" si="6">F48</f>
        <v>-206832.5</v>
      </c>
      <c r="H6" s="8">
        <f t="shared" ref="H6:M6" si="7">G48</f>
        <v>-205207.43</v>
      </c>
      <c r="I6" s="8">
        <f t="shared" si="7"/>
        <v>-218293.52</v>
      </c>
      <c r="J6" s="8">
        <f t="shared" si="7"/>
        <v>-212299.9</v>
      </c>
      <c r="K6" s="8">
        <f t="shared" si="7"/>
        <v>-220347.11</v>
      </c>
      <c r="L6" s="8">
        <f t="shared" si="7"/>
        <v>-222000.40999999997</v>
      </c>
      <c r="M6" s="8">
        <f t="shared" si="7"/>
        <v>-220947.53999999998</v>
      </c>
      <c r="N6" s="8">
        <f>B6</f>
        <v>-190901.94</v>
      </c>
    </row>
    <row r="7" spans="1:18" ht="20.25" customHeight="1" thickBot="1" x14ac:dyDescent="0.3">
      <c r="A7" s="9" t="s">
        <v>12</v>
      </c>
      <c r="B7" s="10">
        <f t="shared" ref="B7:M7" si="8">SUM(B8:B16)</f>
        <v>61666.57</v>
      </c>
      <c r="C7" s="10">
        <f t="shared" si="8"/>
        <v>57802.340000000004</v>
      </c>
      <c r="D7" s="10">
        <f t="shared" si="8"/>
        <v>54834.110000000008</v>
      </c>
      <c r="E7" s="10">
        <f t="shared" si="8"/>
        <v>50854.16</v>
      </c>
      <c r="F7" s="10">
        <f t="shared" si="8"/>
        <v>61043.960000000006</v>
      </c>
      <c r="G7" s="10">
        <f t="shared" si="8"/>
        <v>51018.750000000007</v>
      </c>
      <c r="H7" s="10">
        <f t="shared" si="8"/>
        <v>61527.290000000008</v>
      </c>
      <c r="I7" s="10">
        <f t="shared" si="8"/>
        <v>61050.559999999998</v>
      </c>
      <c r="J7" s="10">
        <f t="shared" si="8"/>
        <v>63666.950000000004</v>
      </c>
      <c r="K7" s="10">
        <f t="shared" si="8"/>
        <v>61818.66</v>
      </c>
      <c r="L7" s="10">
        <f t="shared" si="8"/>
        <v>59626.090000000004</v>
      </c>
      <c r="M7" s="10">
        <f t="shared" si="8"/>
        <v>65560.420000000013</v>
      </c>
      <c r="N7" s="10">
        <f>SUM(B7:M7)</f>
        <v>710469.8600000001</v>
      </c>
    </row>
    <row r="8" spans="1:18" ht="21" customHeight="1" thickBot="1" x14ac:dyDescent="0.3">
      <c r="A8" s="4" t="s">
        <v>31</v>
      </c>
      <c r="B8" s="11">
        <f t="shared" ref="B8:G8" si="9">41976.45+371.16</f>
        <v>42347.61</v>
      </c>
      <c r="C8" s="11">
        <f t="shared" si="9"/>
        <v>42347.61</v>
      </c>
      <c r="D8" s="11">
        <f t="shared" si="9"/>
        <v>42347.61</v>
      </c>
      <c r="E8" s="11">
        <f t="shared" si="9"/>
        <v>42347.61</v>
      </c>
      <c r="F8" s="11">
        <f t="shared" si="9"/>
        <v>42347.61</v>
      </c>
      <c r="G8" s="11">
        <f t="shared" si="9"/>
        <v>42347.61</v>
      </c>
      <c r="H8" s="11">
        <f>48871.58+371.16</f>
        <v>49242.740000000005</v>
      </c>
      <c r="I8" s="11">
        <f>48450.35+363.29</f>
        <v>48813.64</v>
      </c>
      <c r="J8" s="11">
        <f>48871.58+371.16</f>
        <v>49242.740000000005</v>
      </c>
      <c r="K8" s="11">
        <f>48871.58+371.16</f>
        <v>49242.740000000005</v>
      </c>
      <c r="L8" s="11">
        <f>48871.58+371.16</f>
        <v>49242.740000000005</v>
      </c>
      <c r="M8" s="11">
        <f>48871.58+371.16</f>
        <v>49242.740000000005</v>
      </c>
      <c r="N8" s="11">
        <f>SUM(B8:M8)</f>
        <v>549113</v>
      </c>
    </row>
    <row r="9" spans="1:18" ht="24.75" customHeight="1" thickBot="1" x14ac:dyDescent="0.3">
      <c r="A9" s="4" t="s">
        <v>26</v>
      </c>
      <c r="B9" s="11">
        <v>339.54</v>
      </c>
      <c r="C9" s="11">
        <v>339.54</v>
      </c>
      <c r="D9" s="11">
        <v>339.54</v>
      </c>
      <c r="E9" s="11">
        <v>339.54</v>
      </c>
      <c r="F9" s="11">
        <v>339.54</v>
      </c>
      <c r="G9" s="11">
        <v>339.54</v>
      </c>
      <c r="H9" s="11">
        <v>339.54</v>
      </c>
      <c r="I9" s="11">
        <v>339.54</v>
      </c>
      <c r="J9" s="11">
        <v>339.54</v>
      </c>
      <c r="K9" s="11">
        <v>339.54</v>
      </c>
      <c r="L9" s="11">
        <v>339.54</v>
      </c>
      <c r="M9" s="11">
        <v>339.54</v>
      </c>
      <c r="N9" s="11">
        <f>SUM(B9:M9)</f>
        <v>4074.48</v>
      </c>
    </row>
    <row r="10" spans="1:18" ht="24.75" customHeight="1" thickBot="1" x14ac:dyDescent="0.3">
      <c r="A10" s="4" t="s">
        <v>16</v>
      </c>
      <c r="B10" s="11">
        <v>9947.08</v>
      </c>
      <c r="C10" s="11">
        <v>4265.26</v>
      </c>
      <c r="D10" s="11">
        <v>4268.28</v>
      </c>
      <c r="E10" s="11">
        <v>1197.2</v>
      </c>
      <c r="F10" s="11">
        <v>8419.15</v>
      </c>
      <c r="G10" s="11">
        <v>784.93</v>
      </c>
      <c r="H10" s="11">
        <v>878.17</v>
      </c>
      <c r="I10" s="11">
        <v>1159.2</v>
      </c>
      <c r="J10" s="11">
        <v>1170.8399999999999</v>
      </c>
      <c r="K10" s="11">
        <v>1170.8399999999999</v>
      </c>
      <c r="L10" s="11">
        <v>1170.8399999999999</v>
      </c>
      <c r="M10" s="11">
        <v>1170.8399999999999</v>
      </c>
      <c r="N10" s="11">
        <f t="shared" ref="N10:N16" si="10">SUM(B10:M10)</f>
        <v>35602.62999999999</v>
      </c>
    </row>
    <row r="11" spans="1:18" ht="21.75" customHeight="1" thickBot="1" x14ac:dyDescent="0.3">
      <c r="A11" s="4" t="s">
        <v>17</v>
      </c>
      <c r="B11" s="11">
        <v>172.49</v>
      </c>
      <c r="C11" s="11">
        <v>172.49</v>
      </c>
      <c r="D11" s="11">
        <v>172.55</v>
      </c>
      <c r="E11" s="11">
        <v>172.55</v>
      </c>
      <c r="F11" s="11">
        <v>172.55</v>
      </c>
      <c r="G11" s="11">
        <v>172.55</v>
      </c>
      <c r="H11" s="11">
        <f>190.71</f>
        <v>190.71</v>
      </c>
      <c r="I11" s="11">
        <v>170.04</v>
      </c>
      <c r="J11" s="11">
        <v>190.71</v>
      </c>
      <c r="K11" s="11">
        <v>190.71</v>
      </c>
      <c r="L11" s="11">
        <v>190.71</v>
      </c>
      <c r="M11" s="11">
        <v>190.71</v>
      </c>
      <c r="N11" s="11">
        <f t="shared" si="10"/>
        <v>2158.77</v>
      </c>
    </row>
    <row r="12" spans="1:18" ht="22.5" customHeight="1" thickBot="1" x14ac:dyDescent="0.3">
      <c r="A12" s="4" t="s">
        <v>18</v>
      </c>
      <c r="B12" s="11">
        <v>2241.02</v>
      </c>
      <c r="C12" s="11">
        <v>4058.61</v>
      </c>
      <c r="D12" s="11">
        <v>1087.3</v>
      </c>
      <c r="E12" s="11">
        <v>178.43</v>
      </c>
      <c r="F12" s="11">
        <f>423.28+2723</f>
        <v>3146.2799999999997</v>
      </c>
      <c r="G12" s="11">
        <v>755.29</v>
      </c>
      <c r="H12" s="11">
        <f>937.87+1256</f>
        <v>2193.87</v>
      </c>
      <c r="I12" s="11">
        <f>1771.49+179</f>
        <v>1950.49</v>
      </c>
      <c r="J12" s="11">
        <f>3981.86+59</f>
        <v>4040.86</v>
      </c>
      <c r="K12" s="11">
        <v>2192.5700000000002</v>
      </c>
      <c r="L12" s="11">
        <v>0</v>
      </c>
      <c r="M12" s="11">
        <v>5934.33</v>
      </c>
      <c r="N12" s="11">
        <f t="shared" si="10"/>
        <v>27779.049999999996</v>
      </c>
    </row>
    <row r="13" spans="1:18" ht="22.5" customHeight="1" thickBot="1" x14ac:dyDescent="0.3">
      <c r="A13" s="4" t="s">
        <v>46</v>
      </c>
      <c r="B13" s="11">
        <v>3040.92</v>
      </c>
      <c r="C13" s="11">
        <v>3040.92</v>
      </c>
      <c r="D13" s="11">
        <v>3040.92</v>
      </c>
      <c r="E13" s="11">
        <v>3040.92</v>
      </c>
      <c r="F13" s="11">
        <v>3040.92</v>
      </c>
      <c r="G13" s="11">
        <v>3040.92</v>
      </c>
      <c r="H13" s="11">
        <v>5052.6000000000004</v>
      </c>
      <c r="I13" s="11">
        <v>4992.6499999999996</v>
      </c>
      <c r="J13" s="11">
        <v>5052.6000000000004</v>
      </c>
      <c r="K13" s="11">
        <v>5052.6000000000004</v>
      </c>
      <c r="L13" s="11">
        <v>5052.6000000000004</v>
      </c>
      <c r="M13" s="11">
        <v>5052.6000000000004</v>
      </c>
      <c r="N13" s="11">
        <f t="shared" si="10"/>
        <v>48501.17</v>
      </c>
    </row>
    <row r="14" spans="1:18" ht="22.5" customHeight="1" thickBot="1" x14ac:dyDescent="0.3">
      <c r="A14" s="4" t="s">
        <v>28</v>
      </c>
      <c r="B14" s="11">
        <v>332.91</v>
      </c>
      <c r="C14" s="11">
        <v>332.91</v>
      </c>
      <c r="D14" s="11">
        <v>332.91</v>
      </c>
      <c r="E14" s="11">
        <v>332.91</v>
      </c>
      <c r="F14" s="11">
        <v>332.91</v>
      </c>
      <c r="G14" s="11">
        <v>332.91</v>
      </c>
      <c r="H14" s="11">
        <v>384.66</v>
      </c>
      <c r="I14" s="11">
        <v>380</v>
      </c>
      <c r="J14" s="11">
        <v>384.66</v>
      </c>
      <c r="K14" s="11">
        <v>384.66</v>
      </c>
      <c r="L14" s="11">
        <v>384.66</v>
      </c>
      <c r="M14" s="11">
        <v>384.66</v>
      </c>
      <c r="N14" s="11">
        <f t="shared" si="10"/>
        <v>4300.76</v>
      </c>
    </row>
    <row r="15" spans="1:18" ht="22.5" hidden="1" customHeight="1" thickBot="1" x14ac:dyDescent="0.3">
      <c r="A15" s="4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>
        <f t="shared" si="10"/>
        <v>0</v>
      </c>
    </row>
    <row r="16" spans="1:18" ht="24" customHeight="1" thickBot="1" x14ac:dyDescent="0.3">
      <c r="A16" s="4" t="s">
        <v>14</v>
      </c>
      <c r="B16" s="11">
        <v>3245</v>
      </c>
      <c r="C16" s="11">
        <v>3245</v>
      </c>
      <c r="D16" s="11">
        <v>3245</v>
      </c>
      <c r="E16" s="11">
        <v>3245</v>
      </c>
      <c r="F16" s="11">
        <v>3245</v>
      </c>
      <c r="G16" s="11">
        <v>3245</v>
      </c>
      <c r="H16" s="11">
        <v>3245</v>
      </c>
      <c r="I16" s="11">
        <v>3245</v>
      </c>
      <c r="J16" s="11">
        <v>3245</v>
      </c>
      <c r="K16" s="11">
        <v>3245</v>
      </c>
      <c r="L16" s="11">
        <v>3245</v>
      </c>
      <c r="M16" s="11">
        <v>3245</v>
      </c>
      <c r="N16" s="11">
        <f t="shared" si="10"/>
        <v>38940</v>
      </c>
    </row>
    <row r="17" spans="1:15" ht="20.25" customHeight="1" thickBot="1" x14ac:dyDescent="0.3">
      <c r="A17" s="12" t="s">
        <v>8</v>
      </c>
      <c r="B17" s="13">
        <f t="shared" ref="B17:M17" si="11">SUM(B18:B26)</f>
        <v>45358.310000000005</v>
      </c>
      <c r="C17" s="13">
        <f t="shared" si="11"/>
        <v>56495.099999999984</v>
      </c>
      <c r="D17" s="13">
        <f t="shared" si="11"/>
        <v>58519.3</v>
      </c>
      <c r="E17" s="13">
        <f t="shared" si="11"/>
        <v>59985.73</v>
      </c>
      <c r="F17" s="13">
        <f t="shared" si="11"/>
        <v>49912.140000000007</v>
      </c>
      <c r="G17" s="13">
        <f t="shared" si="11"/>
        <v>52643.819999999992</v>
      </c>
      <c r="H17" s="13">
        <f t="shared" si="11"/>
        <v>48441.2</v>
      </c>
      <c r="I17" s="13">
        <f t="shared" si="11"/>
        <v>67044.179999999993</v>
      </c>
      <c r="J17" s="13">
        <f t="shared" si="11"/>
        <v>55619.740000000005</v>
      </c>
      <c r="K17" s="13">
        <f t="shared" si="11"/>
        <v>60165.360000000008</v>
      </c>
      <c r="L17" s="13">
        <f t="shared" si="11"/>
        <v>54034.670000000006</v>
      </c>
      <c r="M17" s="13">
        <f t="shared" si="11"/>
        <v>62428.55</v>
      </c>
      <c r="N17" s="13">
        <f>SUM(B17:M17)</f>
        <v>670648.10000000009</v>
      </c>
    </row>
    <row r="18" spans="1:15" ht="24" customHeight="1" thickBot="1" x14ac:dyDescent="0.3">
      <c r="A18" s="4" t="s">
        <v>32</v>
      </c>
      <c r="B18" s="11">
        <f>37874.01+334.89</f>
        <v>38208.9</v>
      </c>
      <c r="C18" s="11">
        <f>40603.25+359.71</f>
        <v>40962.959999999999</v>
      </c>
      <c r="D18" s="11">
        <f>44252.77+383.15</f>
        <v>44635.92</v>
      </c>
      <c r="E18" s="11">
        <f>42666.21+375.74+3.5</f>
        <v>43045.45</v>
      </c>
      <c r="F18" s="11">
        <f>41027.41+362.89+2.14</f>
        <v>41392.44</v>
      </c>
      <c r="G18" s="11">
        <f>37854.03+339.68+0.34</f>
        <v>38194.049999999996</v>
      </c>
      <c r="H18" s="11">
        <f>39298.93+343.45+1.28</f>
        <v>39643.659999999996</v>
      </c>
      <c r="I18" s="11">
        <f>53428.99+415.87+0.88</f>
        <v>53845.74</v>
      </c>
      <c r="J18" s="11">
        <f>46736.58+347.36</f>
        <v>47083.94</v>
      </c>
      <c r="K18" s="11">
        <f>43429.47+335.07</f>
        <v>43764.54</v>
      </c>
      <c r="L18" s="11">
        <f>44836.6+335.07</f>
        <v>45171.67</v>
      </c>
      <c r="M18" s="11">
        <f>48944.19+371.94</f>
        <v>49316.130000000005</v>
      </c>
      <c r="N18" s="11">
        <f>SUM(B18:M18)</f>
        <v>525265.39999999991</v>
      </c>
    </row>
    <row r="19" spans="1:15" ht="24" customHeight="1" thickBot="1" x14ac:dyDescent="0.3">
      <c r="A19" s="4" t="s">
        <v>27</v>
      </c>
      <c r="B19" s="11">
        <v>0</v>
      </c>
      <c r="C19" s="11">
        <v>0</v>
      </c>
      <c r="D19" s="11">
        <v>1358.16</v>
      </c>
      <c r="E19" s="11">
        <v>0</v>
      </c>
      <c r="F19" s="11">
        <v>339.54</v>
      </c>
      <c r="G19" s="11">
        <v>339.54</v>
      </c>
      <c r="H19" s="11">
        <v>339.54</v>
      </c>
      <c r="I19" s="11">
        <v>339.54</v>
      </c>
      <c r="J19" s="11">
        <v>0</v>
      </c>
      <c r="K19" s="11">
        <v>679.08</v>
      </c>
      <c r="L19" s="11">
        <v>0</v>
      </c>
      <c r="M19" s="11">
        <v>679.08</v>
      </c>
      <c r="N19" s="11">
        <f>SUM(B19:M19)</f>
        <v>4074.48</v>
      </c>
    </row>
    <row r="20" spans="1:15" ht="26.25" customHeight="1" thickBot="1" x14ac:dyDescent="0.3">
      <c r="A20" s="4" t="s">
        <v>16</v>
      </c>
      <c r="B20" s="11">
        <v>0</v>
      </c>
      <c r="C20" s="11">
        <v>9298.2999999999993</v>
      </c>
      <c r="D20" s="11">
        <v>4414.16</v>
      </c>
      <c r="E20" s="11">
        <v>4224.4799999999996</v>
      </c>
      <c r="F20" s="11">
        <v>1229.72</v>
      </c>
      <c r="G20" s="11">
        <v>7552.23</v>
      </c>
      <c r="H20" s="11">
        <v>1088.3499999999999</v>
      </c>
      <c r="I20" s="11">
        <v>1381.06</v>
      </c>
      <c r="J20" s="11">
        <v>1095.73</v>
      </c>
      <c r="K20" s="11">
        <v>1040.46</v>
      </c>
      <c r="L20" s="11">
        <v>1041.81</v>
      </c>
      <c r="M20" s="11">
        <v>0</v>
      </c>
      <c r="N20" s="11">
        <f t="shared" ref="N20:N26" si="12">SUM(B20:M20)</f>
        <v>32366.3</v>
      </c>
    </row>
    <row r="21" spans="1:15" ht="26.25" customHeight="1" thickBot="1" x14ac:dyDescent="0.3">
      <c r="A21" s="4" t="s">
        <v>17</v>
      </c>
      <c r="B21" s="11">
        <v>155.63</v>
      </c>
      <c r="C21" s="11">
        <v>166.85</v>
      </c>
      <c r="D21" s="11">
        <v>181.83</v>
      </c>
      <c r="E21" s="11">
        <v>201.91</v>
      </c>
      <c r="F21" s="11">
        <v>184.87</v>
      </c>
      <c r="G21" s="11">
        <v>158.21</v>
      </c>
      <c r="H21" s="11">
        <v>171.21</v>
      </c>
      <c r="I21" s="11">
        <v>216.75</v>
      </c>
      <c r="J21" s="11">
        <v>178.48</v>
      </c>
      <c r="K21" s="11">
        <v>169.48</v>
      </c>
      <c r="L21" s="11">
        <v>174.97</v>
      </c>
      <c r="M21" s="11">
        <v>190.99</v>
      </c>
      <c r="N21" s="11">
        <f t="shared" si="12"/>
        <v>2151.1800000000003</v>
      </c>
    </row>
    <row r="22" spans="1:15" ht="24" customHeight="1" thickBot="1" x14ac:dyDescent="0.3">
      <c r="A22" s="4" t="s">
        <v>18</v>
      </c>
      <c r="B22" s="11">
        <v>1905.91</v>
      </c>
      <c r="C22" s="11">
        <v>2163.52</v>
      </c>
      <c r="D22" s="11">
        <v>4052.88</v>
      </c>
      <c r="E22" s="11">
        <v>1243.1600000000001</v>
      </c>
      <c r="F22" s="11">
        <v>273.75</v>
      </c>
      <c r="G22" s="11">
        <v>396.05</v>
      </c>
      <c r="H22" s="11">
        <v>738.3</v>
      </c>
      <c r="I22" s="11">
        <v>1027.72</v>
      </c>
      <c r="J22" s="11">
        <v>1729.7</v>
      </c>
      <c r="K22" s="11">
        <v>3538.43</v>
      </c>
      <c r="L22" s="11">
        <v>2036.76</v>
      </c>
      <c r="M22" s="11">
        <v>204.51</v>
      </c>
      <c r="N22" s="11">
        <f t="shared" si="12"/>
        <v>19310.689999999995</v>
      </c>
    </row>
    <row r="23" spans="1:15" ht="24" customHeight="1" thickBot="1" x14ac:dyDescent="0.3">
      <c r="A23" s="4" t="s">
        <v>46</v>
      </c>
      <c r="B23" s="11">
        <v>2787.51</v>
      </c>
      <c r="C23" s="11">
        <v>2956.45</v>
      </c>
      <c r="D23" s="11">
        <v>3125.39</v>
      </c>
      <c r="E23" s="11">
        <v>3038.11</v>
      </c>
      <c r="F23" s="11">
        <v>2974.97</v>
      </c>
      <c r="G23" s="11">
        <v>2804.11</v>
      </c>
      <c r="H23" s="11">
        <v>2850.57</v>
      </c>
      <c r="I23" s="11">
        <v>5238.8</v>
      </c>
      <c r="J23" s="11">
        <v>4771.8999999999996</v>
      </c>
      <c r="K23" s="11">
        <v>4631.55</v>
      </c>
      <c r="L23" s="11">
        <v>4631.55</v>
      </c>
      <c r="M23" s="11">
        <v>5052.6000000000004</v>
      </c>
      <c r="N23" s="11">
        <f t="shared" si="12"/>
        <v>44863.51</v>
      </c>
    </row>
    <row r="24" spans="1:15" ht="24" customHeight="1" thickBot="1" x14ac:dyDescent="0.3">
      <c r="A24" s="4" t="s">
        <v>28</v>
      </c>
      <c r="B24" s="11">
        <v>300.36</v>
      </c>
      <c r="C24" s="11">
        <v>322.02</v>
      </c>
      <c r="D24" s="11">
        <v>350.96</v>
      </c>
      <c r="E24" s="11">
        <v>332.62</v>
      </c>
      <c r="F24" s="11">
        <v>321.85000000000002</v>
      </c>
      <c r="G24" s="11">
        <v>299.63</v>
      </c>
      <c r="H24" s="11">
        <v>309.57</v>
      </c>
      <c r="I24" s="11">
        <v>419.57</v>
      </c>
      <c r="J24" s="11">
        <v>359.99</v>
      </c>
      <c r="K24" s="11">
        <v>341.82</v>
      </c>
      <c r="L24" s="11">
        <v>352.91</v>
      </c>
      <c r="M24" s="11">
        <v>385.24</v>
      </c>
      <c r="N24" s="11">
        <f t="shared" si="12"/>
        <v>4096.5400000000009</v>
      </c>
    </row>
    <row r="25" spans="1:15" ht="24" hidden="1" customHeight="1" thickBot="1" x14ac:dyDescent="0.3">
      <c r="A25" s="4" t="s">
        <v>29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>
        <f t="shared" si="12"/>
        <v>0</v>
      </c>
    </row>
    <row r="26" spans="1:15" ht="21" customHeight="1" thickBot="1" x14ac:dyDescent="0.3">
      <c r="A26" s="4" t="s">
        <v>14</v>
      </c>
      <c r="B26" s="14">
        <v>2000</v>
      </c>
      <c r="C26" s="14">
        <v>625</v>
      </c>
      <c r="D26" s="14">
        <v>400</v>
      </c>
      <c r="E26" s="14">
        <v>7900</v>
      </c>
      <c r="F26" s="14">
        <v>3195</v>
      </c>
      <c r="G26" s="14">
        <v>2900</v>
      </c>
      <c r="H26" s="14">
        <v>3300</v>
      </c>
      <c r="I26" s="14">
        <v>4575</v>
      </c>
      <c r="J26" s="14">
        <v>400</v>
      </c>
      <c r="K26" s="11">
        <v>6000</v>
      </c>
      <c r="L26" s="11">
        <v>625</v>
      </c>
      <c r="M26" s="11">
        <v>6600</v>
      </c>
      <c r="N26" s="11">
        <f t="shared" si="12"/>
        <v>38520</v>
      </c>
      <c r="O26" s="3"/>
    </row>
    <row r="27" spans="1:15" ht="21.75" customHeight="1" thickBot="1" x14ac:dyDescent="0.3">
      <c r="A27" s="15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1:15" ht="19.5" customHeight="1" thickBot="1" x14ac:dyDescent="0.3">
      <c r="A28" s="4" t="s">
        <v>1</v>
      </c>
      <c r="B28" s="11">
        <f t="shared" ref="B28:M28" si="13">1953.3*0.6</f>
        <v>1171.98</v>
      </c>
      <c r="C28" s="11">
        <f t="shared" si="13"/>
        <v>1171.98</v>
      </c>
      <c r="D28" s="11">
        <f t="shared" si="13"/>
        <v>1171.98</v>
      </c>
      <c r="E28" s="11">
        <f t="shared" si="13"/>
        <v>1171.98</v>
      </c>
      <c r="F28" s="11">
        <f t="shared" si="13"/>
        <v>1171.98</v>
      </c>
      <c r="G28" s="11">
        <f t="shared" si="13"/>
        <v>1171.98</v>
      </c>
      <c r="H28" s="11">
        <f t="shared" si="13"/>
        <v>1171.98</v>
      </c>
      <c r="I28" s="11">
        <f t="shared" si="13"/>
        <v>1171.98</v>
      </c>
      <c r="J28" s="11">
        <f t="shared" si="13"/>
        <v>1171.98</v>
      </c>
      <c r="K28" s="11">
        <f t="shared" si="13"/>
        <v>1171.98</v>
      </c>
      <c r="L28" s="11">
        <f t="shared" si="13"/>
        <v>1171.98</v>
      </c>
      <c r="M28" s="11">
        <f t="shared" si="13"/>
        <v>1171.98</v>
      </c>
      <c r="N28" s="11">
        <f t="shared" ref="N28:N39" si="14">SUM(B28:M28)</f>
        <v>14063.759999999997</v>
      </c>
    </row>
    <row r="29" spans="1:15" ht="22.5" customHeight="1" thickBot="1" x14ac:dyDescent="0.3">
      <c r="A29" s="4" t="s">
        <v>2</v>
      </c>
      <c r="B29" s="11">
        <f t="shared" ref="B29:M29" si="15">1953.3*0.17</f>
        <v>332.06100000000004</v>
      </c>
      <c r="C29" s="11">
        <f t="shared" si="15"/>
        <v>332.06100000000004</v>
      </c>
      <c r="D29" s="11">
        <f t="shared" si="15"/>
        <v>332.06100000000004</v>
      </c>
      <c r="E29" s="11">
        <f t="shared" si="15"/>
        <v>332.06100000000004</v>
      </c>
      <c r="F29" s="11">
        <f t="shared" si="15"/>
        <v>332.06100000000004</v>
      </c>
      <c r="G29" s="11">
        <f t="shared" si="15"/>
        <v>332.06100000000004</v>
      </c>
      <c r="H29" s="11">
        <f t="shared" si="15"/>
        <v>332.06100000000004</v>
      </c>
      <c r="I29" s="11">
        <f t="shared" si="15"/>
        <v>332.06100000000004</v>
      </c>
      <c r="J29" s="11">
        <f t="shared" si="15"/>
        <v>332.06100000000004</v>
      </c>
      <c r="K29" s="11">
        <f t="shared" si="15"/>
        <v>332.06100000000004</v>
      </c>
      <c r="L29" s="11">
        <f t="shared" si="15"/>
        <v>332.06100000000004</v>
      </c>
      <c r="M29" s="11">
        <f t="shared" si="15"/>
        <v>332.06100000000004</v>
      </c>
      <c r="N29" s="11">
        <f t="shared" si="14"/>
        <v>3984.7320000000013</v>
      </c>
    </row>
    <row r="30" spans="1:15" ht="21" customHeight="1" thickBot="1" x14ac:dyDescent="0.3">
      <c r="A30" s="4" t="s">
        <v>3</v>
      </c>
      <c r="B30" s="11">
        <f>58082.03*2.3%</f>
        <v>1335.88669</v>
      </c>
      <c r="C30" s="11">
        <f>54217.8*2.3%</f>
        <v>1247.0094000000001</v>
      </c>
      <c r="D30" s="11">
        <f>51249.57*2.3%</f>
        <v>1178.74011</v>
      </c>
      <c r="E30" s="11">
        <f>47269.62*2.3%</f>
        <v>1087.20126</v>
      </c>
      <c r="F30" s="11">
        <f>54736.42*2.3%</f>
        <v>1258.9376600000001</v>
      </c>
      <c r="G30" s="11">
        <f>47434.21*2.3%</f>
        <v>1090.9868300000001</v>
      </c>
      <c r="H30" s="11">
        <f>56686.75*2.3%</f>
        <v>1303.7952499999999</v>
      </c>
      <c r="I30" s="11">
        <f>57287.02*2.3%</f>
        <v>1317.6014599999999</v>
      </c>
      <c r="J30" s="11">
        <f>60023.41*2.3%</f>
        <v>1380.5384300000001</v>
      </c>
      <c r="K30" s="11">
        <f>58234.12*2.3%</f>
        <v>1339.3847600000001</v>
      </c>
      <c r="L30" s="11">
        <f>56041.55*2.3%</f>
        <v>1288.9556500000001</v>
      </c>
      <c r="M30" s="11">
        <f>61975.88*2.3%</f>
        <v>1425.44524</v>
      </c>
      <c r="N30" s="11">
        <f t="shared" si="14"/>
        <v>15254.482739999999</v>
      </c>
    </row>
    <row r="31" spans="1:15" ht="23.25" customHeight="1" thickBot="1" x14ac:dyDescent="0.3">
      <c r="A31" s="4" t="s">
        <v>4</v>
      </c>
      <c r="B31" s="11">
        <f>43358.31*3%</f>
        <v>1300.7492999999999</v>
      </c>
      <c r="C31" s="11">
        <f>55870.1*3%</f>
        <v>1676.1029999999998</v>
      </c>
      <c r="D31" s="11">
        <f>56761.14*3%</f>
        <v>1702.8342</v>
      </c>
      <c r="E31" s="11">
        <f>52085.73*3%</f>
        <v>1562.5719000000001</v>
      </c>
      <c r="F31" s="11">
        <f>46377.6*3%</f>
        <v>1391.328</v>
      </c>
      <c r="G31" s="11">
        <f>49404.28*3%</f>
        <v>1482.1283999999998</v>
      </c>
      <c r="H31" s="11">
        <f>44801.66*3%</f>
        <v>1344.0498</v>
      </c>
      <c r="I31" s="11">
        <f>62129.64*3%</f>
        <v>1863.8891999999998</v>
      </c>
      <c r="J31" s="11">
        <f>55219.74*3%</f>
        <v>1656.5921999999998</v>
      </c>
      <c r="K31" s="11">
        <f>53486.28*3%</f>
        <v>1604.5883999999999</v>
      </c>
      <c r="L31" s="11">
        <f>53409.67*3%</f>
        <v>1602.2900999999999</v>
      </c>
      <c r="M31" s="11">
        <f>55149.47*3%</f>
        <v>1654.4840999999999</v>
      </c>
      <c r="N31" s="11">
        <f t="shared" si="14"/>
        <v>18841.6086</v>
      </c>
    </row>
    <row r="32" spans="1:15" ht="23.25" customHeight="1" thickBot="1" x14ac:dyDescent="0.3">
      <c r="A32" s="4" t="s">
        <v>9</v>
      </c>
      <c r="B32" s="11">
        <f t="shared" ref="B32:M32" si="16">1953.3*8.5</f>
        <v>16603.05</v>
      </c>
      <c r="C32" s="11">
        <f t="shared" si="16"/>
        <v>16603.05</v>
      </c>
      <c r="D32" s="11">
        <f t="shared" si="16"/>
        <v>16603.05</v>
      </c>
      <c r="E32" s="11">
        <f t="shared" si="16"/>
        <v>16603.05</v>
      </c>
      <c r="F32" s="11">
        <f t="shared" si="16"/>
        <v>16603.05</v>
      </c>
      <c r="G32" s="11">
        <f t="shared" si="16"/>
        <v>16603.05</v>
      </c>
      <c r="H32" s="11">
        <f t="shared" si="16"/>
        <v>16603.05</v>
      </c>
      <c r="I32" s="11">
        <f t="shared" si="16"/>
        <v>16603.05</v>
      </c>
      <c r="J32" s="11">
        <f t="shared" si="16"/>
        <v>16603.05</v>
      </c>
      <c r="K32" s="11">
        <f t="shared" si="16"/>
        <v>16603.05</v>
      </c>
      <c r="L32" s="11">
        <f t="shared" si="16"/>
        <v>16603.05</v>
      </c>
      <c r="M32" s="11">
        <f t="shared" si="16"/>
        <v>16603.05</v>
      </c>
      <c r="N32" s="11">
        <f t="shared" si="14"/>
        <v>199236.59999999995</v>
      </c>
    </row>
    <row r="33" spans="1:14" ht="26.25" customHeight="1" thickBot="1" x14ac:dyDescent="0.3">
      <c r="A33" s="4" t="s">
        <v>19</v>
      </c>
      <c r="B33" s="11">
        <f>3816.04+449.22</f>
        <v>4265.26</v>
      </c>
      <c r="C33" s="11">
        <f>3818.71+449.54</f>
        <v>4268.25</v>
      </c>
      <c r="D33" s="11">
        <f>1071.17+126.09</f>
        <v>1197.26</v>
      </c>
      <c r="E33" s="11">
        <f>7532.41+886.7</f>
        <v>8419.11</v>
      </c>
      <c r="F33" s="11">
        <f>702.2+82.67</f>
        <v>784.87</v>
      </c>
      <c r="G33" s="11">
        <f>785.68+92.48</f>
        <v>878.16</v>
      </c>
      <c r="H33" s="11">
        <f>1055.95+114.94</f>
        <v>1170.8900000000001</v>
      </c>
      <c r="I33" s="11">
        <f t="shared" ref="I33:M33" si="17">1055.95+114.94</f>
        <v>1170.8900000000001</v>
      </c>
      <c r="J33" s="11">
        <f t="shared" si="17"/>
        <v>1170.8900000000001</v>
      </c>
      <c r="K33" s="11">
        <f t="shared" si="17"/>
        <v>1170.8900000000001</v>
      </c>
      <c r="L33" s="11">
        <f t="shared" si="17"/>
        <v>1170.8900000000001</v>
      </c>
      <c r="M33" s="11">
        <f t="shared" si="17"/>
        <v>1170.8900000000001</v>
      </c>
      <c r="N33" s="11">
        <f t="shared" si="14"/>
        <v>26838.249999999996</v>
      </c>
    </row>
    <row r="34" spans="1:14" ht="26.25" customHeight="1" thickBot="1" x14ac:dyDescent="0.3">
      <c r="A34" s="4" t="s">
        <v>20</v>
      </c>
      <c r="B34" s="11">
        <v>258.79000000000002</v>
      </c>
      <c r="C34" s="11">
        <v>258.79000000000002</v>
      </c>
      <c r="D34" s="11">
        <v>258.79000000000002</v>
      </c>
      <c r="E34" s="11">
        <v>258.79000000000002</v>
      </c>
      <c r="F34" s="11">
        <v>258.79000000000002</v>
      </c>
      <c r="G34" s="11">
        <v>258.79000000000002</v>
      </c>
      <c r="H34" s="11">
        <v>285.76</v>
      </c>
      <c r="I34" s="11">
        <v>285.76</v>
      </c>
      <c r="J34" s="11">
        <v>285.76</v>
      </c>
      <c r="K34" s="11">
        <v>285.76</v>
      </c>
      <c r="L34" s="11">
        <v>285.76</v>
      </c>
      <c r="M34" s="11">
        <v>285.76</v>
      </c>
      <c r="N34" s="11">
        <f t="shared" si="14"/>
        <v>3267.3000000000011</v>
      </c>
    </row>
    <row r="35" spans="1:14" ht="26.25" customHeight="1" thickBot="1" x14ac:dyDescent="0.3">
      <c r="A35" s="4" t="s">
        <v>21</v>
      </c>
      <c r="B35" s="11">
        <v>4058.7</v>
      </c>
      <c r="C35" s="11">
        <v>1087.3</v>
      </c>
      <c r="D35" s="11">
        <v>676.45</v>
      </c>
      <c r="E35" s="11">
        <v>2290.8000000000002</v>
      </c>
      <c r="F35" s="11">
        <v>2415.3000000000002</v>
      </c>
      <c r="G35" s="11">
        <v>937.9</v>
      </c>
      <c r="H35" s="11">
        <v>1952.43</v>
      </c>
      <c r="I35" s="11">
        <v>4040.76</v>
      </c>
      <c r="J35" s="11">
        <v>2192.52</v>
      </c>
      <c r="K35" s="11">
        <v>0</v>
      </c>
      <c r="L35" s="11">
        <v>5934.3</v>
      </c>
      <c r="M35" s="11">
        <v>4036.23</v>
      </c>
      <c r="N35" s="11">
        <f t="shared" si="14"/>
        <v>29622.69</v>
      </c>
    </row>
    <row r="36" spans="1:14" ht="26.25" customHeight="1" thickBot="1" x14ac:dyDescent="0.3">
      <c r="A36" s="4" t="s">
        <v>28</v>
      </c>
      <c r="B36" s="11">
        <v>332.9</v>
      </c>
      <c r="C36" s="11">
        <v>332.9</v>
      </c>
      <c r="D36" s="11">
        <v>332.9</v>
      </c>
      <c r="E36" s="11">
        <v>332.9</v>
      </c>
      <c r="F36" s="11">
        <v>332.9</v>
      </c>
      <c r="G36" s="11">
        <v>332.9</v>
      </c>
      <c r="H36" s="11">
        <f>192.2+192.2</f>
        <v>384.4</v>
      </c>
      <c r="I36" s="11">
        <f>192.2+192.2</f>
        <v>384.4</v>
      </c>
      <c r="J36" s="11">
        <f>192.2+192.2</f>
        <v>384.4</v>
      </c>
      <c r="K36" s="11">
        <f t="shared" ref="K36:M36" si="18">192.2+192.2</f>
        <v>384.4</v>
      </c>
      <c r="L36" s="11">
        <f t="shared" si="18"/>
        <v>384.4</v>
      </c>
      <c r="M36" s="11">
        <f t="shared" si="18"/>
        <v>384.4</v>
      </c>
      <c r="N36" s="11">
        <f t="shared" si="14"/>
        <v>4303.8</v>
      </c>
    </row>
    <row r="37" spans="1:14" ht="22.5" customHeight="1" thickBot="1" x14ac:dyDescent="0.3">
      <c r="A37" s="4" t="s">
        <v>6</v>
      </c>
      <c r="B37" s="11">
        <f t="shared" ref="B37:G37" si="19">1953.3*3.22</f>
        <v>6289.6260000000002</v>
      </c>
      <c r="C37" s="11">
        <f t="shared" si="19"/>
        <v>6289.6260000000002</v>
      </c>
      <c r="D37" s="11">
        <f t="shared" si="19"/>
        <v>6289.6260000000002</v>
      </c>
      <c r="E37" s="11">
        <f t="shared" si="19"/>
        <v>6289.6260000000002</v>
      </c>
      <c r="F37" s="11">
        <f t="shared" si="19"/>
        <v>6289.6260000000002</v>
      </c>
      <c r="G37" s="11">
        <f t="shared" si="19"/>
        <v>6289.6260000000002</v>
      </c>
      <c r="H37" s="11">
        <f>1953.3*3.75</f>
        <v>7324.875</v>
      </c>
      <c r="I37" s="11">
        <f t="shared" ref="I37:M37" si="20">1953.3*3.75</f>
        <v>7324.875</v>
      </c>
      <c r="J37" s="11">
        <f t="shared" si="20"/>
        <v>7324.875</v>
      </c>
      <c r="K37" s="11">
        <f t="shared" si="20"/>
        <v>7324.875</v>
      </c>
      <c r="L37" s="11">
        <f t="shared" si="20"/>
        <v>7324.875</v>
      </c>
      <c r="M37" s="11">
        <f t="shared" si="20"/>
        <v>7324.875</v>
      </c>
      <c r="N37" s="11">
        <f t="shared" si="14"/>
        <v>81687.005999999994</v>
      </c>
    </row>
    <row r="38" spans="1:14" ht="24.75" customHeight="1" thickBot="1" x14ac:dyDescent="0.3">
      <c r="A38" s="4" t="s">
        <v>30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3900</v>
      </c>
      <c r="K38" s="11">
        <v>0</v>
      </c>
      <c r="L38" s="11">
        <v>0</v>
      </c>
      <c r="M38" s="11">
        <v>0</v>
      </c>
      <c r="N38" s="11">
        <f t="shared" si="14"/>
        <v>3900</v>
      </c>
    </row>
    <row r="39" spans="1:14" ht="21.6" customHeight="1" thickBot="1" x14ac:dyDescent="0.3">
      <c r="A39" s="4" t="s">
        <v>25</v>
      </c>
      <c r="B39" s="11">
        <v>7398.11</v>
      </c>
      <c r="C39" s="11">
        <v>7398.11</v>
      </c>
      <c r="D39" s="11">
        <v>7398.11</v>
      </c>
      <c r="E39" s="11">
        <v>7776.99</v>
      </c>
      <c r="F39" s="11">
        <v>7776.99</v>
      </c>
      <c r="G39" s="11">
        <v>7776.99</v>
      </c>
      <c r="H39" s="11">
        <v>7776.99</v>
      </c>
      <c r="I39" s="11">
        <v>7776.99</v>
      </c>
      <c r="J39" s="11">
        <v>7776.99</v>
      </c>
      <c r="K39" s="11">
        <v>7776.99</v>
      </c>
      <c r="L39" s="11">
        <v>7776.99</v>
      </c>
      <c r="M39" s="11">
        <v>7776.99</v>
      </c>
      <c r="N39" s="11">
        <f t="shared" si="14"/>
        <v>92187.24</v>
      </c>
    </row>
    <row r="40" spans="1:14" ht="21.75" customHeight="1" thickBot="1" x14ac:dyDescent="0.3">
      <c r="A40" s="4" t="s">
        <v>46</v>
      </c>
      <c r="B40" s="11">
        <v>0</v>
      </c>
      <c r="C40" s="11">
        <v>0</v>
      </c>
      <c r="D40" s="11">
        <v>0</v>
      </c>
      <c r="E40" s="11">
        <v>5055.55</v>
      </c>
      <c r="F40" s="11">
        <v>1731.68</v>
      </c>
      <c r="G40" s="11">
        <v>1695.47</v>
      </c>
      <c r="H40" s="11">
        <v>1598.88</v>
      </c>
      <c r="I40" s="11">
        <v>1624.4</v>
      </c>
      <c r="J40" s="11">
        <v>2986.16</v>
      </c>
      <c r="K40" s="11">
        <v>2720.33</v>
      </c>
      <c r="L40" s="11">
        <v>2640.08</v>
      </c>
      <c r="M40" s="11">
        <v>2640.08</v>
      </c>
      <c r="N40" s="11">
        <f t="shared" ref="N40:N43" si="21">SUM(B40:M40)</f>
        <v>22692.630000000005</v>
      </c>
    </row>
    <row r="41" spans="1:14" ht="21.75" customHeight="1" thickBot="1" x14ac:dyDescent="0.3">
      <c r="A41" s="4" t="s">
        <v>47</v>
      </c>
      <c r="B41" s="11">
        <v>0</v>
      </c>
      <c r="C41" s="11">
        <v>0</v>
      </c>
      <c r="D41" s="11">
        <v>0</v>
      </c>
      <c r="E41" s="11">
        <f>1153+2660.81</f>
        <v>3813.81</v>
      </c>
      <c r="F41" s="11">
        <f>395+911.43</f>
        <v>1306.4299999999998</v>
      </c>
      <c r="G41" s="11">
        <f>387+892.49</f>
        <v>1279.49</v>
      </c>
      <c r="H41" s="11">
        <f>364+841.23</f>
        <v>1205.23</v>
      </c>
      <c r="I41" s="11">
        <f>371+855.17</f>
        <v>1226.17</v>
      </c>
      <c r="J41" s="11">
        <f>681+1571.64</f>
        <v>2252.6400000000003</v>
      </c>
      <c r="K41" s="11">
        <f>620+1431.57</f>
        <v>2051.5699999999997</v>
      </c>
      <c r="L41" s="11">
        <f>602+1389.47</f>
        <v>1991.47</v>
      </c>
      <c r="M41" s="11">
        <f>602+1389.47</f>
        <v>1991.47</v>
      </c>
      <c r="N41" s="11">
        <f t="shared" si="21"/>
        <v>17118.28</v>
      </c>
    </row>
    <row r="42" spans="1:14" ht="24.75" customHeight="1" thickBot="1" x14ac:dyDescent="0.3">
      <c r="A42" s="4" t="s">
        <v>24</v>
      </c>
      <c r="B42" s="11">
        <v>225</v>
      </c>
      <c r="C42" s="11">
        <v>225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 t="shared" si="21"/>
        <v>450</v>
      </c>
    </row>
    <row r="43" spans="1:14" ht="24" customHeight="1" thickBot="1" x14ac:dyDescent="0.3">
      <c r="A43" s="4" t="s">
        <v>10</v>
      </c>
      <c r="B43" s="11">
        <v>0</v>
      </c>
      <c r="C43" s="11">
        <f>269.16</f>
        <v>269.16000000000003</v>
      </c>
      <c r="D43" s="11">
        <f>6917.5</f>
        <v>6917.5</v>
      </c>
      <c r="E43" s="11">
        <v>0</v>
      </c>
      <c r="F43" s="11">
        <f>2199.3+3321.2</f>
        <v>5520.5</v>
      </c>
      <c r="G43" s="11">
        <v>0</v>
      </c>
      <c r="H43" s="11">
        <v>0</v>
      </c>
      <c r="I43" s="11">
        <v>0</v>
      </c>
      <c r="J43" s="11">
        <v>0</v>
      </c>
      <c r="K43" s="11">
        <f>3750</f>
        <v>3750</v>
      </c>
      <c r="L43" s="11">
        <f>11482.5+851.3+851.3</f>
        <v>13185.099999999999</v>
      </c>
      <c r="M43" s="11">
        <f>1562.9</f>
        <v>1562.9</v>
      </c>
      <c r="N43" s="11">
        <f t="shared" si="21"/>
        <v>31205.16</v>
      </c>
    </row>
    <row r="44" spans="1:14" ht="22.5" customHeight="1" thickBot="1" x14ac:dyDescent="0.3">
      <c r="A44" s="9" t="s">
        <v>22</v>
      </c>
      <c r="B44" s="10">
        <f t="shared" ref="B44:M44" si="22">SUM(B28:B43)</f>
        <v>43572.112990000001</v>
      </c>
      <c r="C44" s="10">
        <f t="shared" si="22"/>
        <v>41159.339400000004</v>
      </c>
      <c r="D44" s="10">
        <f t="shared" si="22"/>
        <v>44059.301310000003</v>
      </c>
      <c r="E44" s="10">
        <f t="shared" si="22"/>
        <v>54994.440159999998</v>
      </c>
      <c r="F44" s="10">
        <f t="shared" si="22"/>
        <v>47174.442660000001</v>
      </c>
      <c r="G44" s="10">
        <f t="shared" si="22"/>
        <v>40129.532230000004</v>
      </c>
      <c r="H44" s="10">
        <f t="shared" si="22"/>
        <v>42454.391049999998</v>
      </c>
      <c r="I44" s="10">
        <f t="shared" si="22"/>
        <v>45122.826659999999</v>
      </c>
      <c r="J44" s="10">
        <f t="shared" si="22"/>
        <v>49418.456630000001</v>
      </c>
      <c r="K44" s="10">
        <f t="shared" si="22"/>
        <v>46515.879159999997</v>
      </c>
      <c r="L44" s="10">
        <f t="shared" si="22"/>
        <v>61692.201749999993</v>
      </c>
      <c r="M44" s="10">
        <f t="shared" si="22"/>
        <v>48360.615340000004</v>
      </c>
      <c r="N44" s="10">
        <f>SUM(B44:M44)</f>
        <v>564653.53934000002</v>
      </c>
    </row>
    <row r="45" spans="1:14" ht="23.25" customHeight="1" thickBot="1" x14ac:dyDescent="0.3">
      <c r="A45" s="4" t="s">
        <v>5</v>
      </c>
      <c r="B45" s="18">
        <f t="shared" ref="B45:N45" si="23">B17-B44</f>
        <v>1786.1970100000035</v>
      </c>
      <c r="C45" s="18">
        <f t="shared" si="23"/>
        <v>15335.76059999998</v>
      </c>
      <c r="D45" s="18">
        <f t="shared" si="23"/>
        <v>14459.99869</v>
      </c>
      <c r="E45" s="18">
        <f t="shared" si="23"/>
        <v>4991.2898400000049</v>
      </c>
      <c r="F45" s="18">
        <f t="shared" si="23"/>
        <v>2737.6973400000061</v>
      </c>
      <c r="G45" s="18">
        <f t="shared" si="23"/>
        <v>12514.287769999988</v>
      </c>
      <c r="H45" s="18">
        <f t="shared" si="23"/>
        <v>5986.8089499999987</v>
      </c>
      <c r="I45" s="18">
        <f t="shared" si="23"/>
        <v>21921.353339999994</v>
      </c>
      <c r="J45" s="18">
        <f t="shared" si="23"/>
        <v>6201.2833700000047</v>
      </c>
      <c r="K45" s="18">
        <f t="shared" si="23"/>
        <v>13649.480840000011</v>
      </c>
      <c r="L45" s="18">
        <f t="shared" si="23"/>
        <v>-7657.5317499999874</v>
      </c>
      <c r="M45" s="18">
        <f t="shared" si="23"/>
        <v>14067.934659999999</v>
      </c>
      <c r="N45" s="11">
        <f t="shared" si="23"/>
        <v>105994.56066000008</v>
      </c>
    </row>
    <row r="46" spans="1:14" ht="23.25" customHeight="1" thickBot="1" x14ac:dyDescent="0.3">
      <c r="A46" s="4" t="s">
        <v>7</v>
      </c>
      <c r="B46" s="14">
        <f t="shared" ref="B46:N46" si="24">B5+B45</f>
        <v>-350297.56299000001</v>
      </c>
      <c r="C46" s="14">
        <f t="shared" si="24"/>
        <v>-334961.80239000003</v>
      </c>
      <c r="D46" s="14">
        <f t="shared" si="24"/>
        <v>-320501.80370000005</v>
      </c>
      <c r="E46" s="14">
        <f t="shared" si="24"/>
        <v>-315510.51386000006</v>
      </c>
      <c r="F46" s="14">
        <f t="shared" si="24"/>
        <v>-312772.81652000005</v>
      </c>
      <c r="G46" s="14">
        <f t="shared" si="24"/>
        <v>-300258.52875000006</v>
      </c>
      <c r="H46" s="14">
        <f t="shared" si="24"/>
        <v>-294271.71980000008</v>
      </c>
      <c r="I46" s="14">
        <f t="shared" si="24"/>
        <v>-272350.36646000011</v>
      </c>
      <c r="J46" s="14">
        <f t="shared" si="24"/>
        <v>-266149.08309000009</v>
      </c>
      <c r="K46" s="14">
        <f t="shared" si="24"/>
        <v>-252499.60225000008</v>
      </c>
      <c r="L46" s="14">
        <f t="shared" si="24"/>
        <v>-260157.13400000008</v>
      </c>
      <c r="M46" s="14">
        <f t="shared" si="24"/>
        <v>-246089.19934000008</v>
      </c>
      <c r="N46" s="14">
        <f t="shared" si="24"/>
        <v>-246089.19933999993</v>
      </c>
    </row>
    <row r="47" spans="1:14" ht="23.25" customHeight="1" thickBot="1" x14ac:dyDescent="0.3">
      <c r="A47" s="4" t="s">
        <v>49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6644.29</v>
      </c>
      <c r="M47" s="11">
        <v>0</v>
      </c>
      <c r="N47" s="11">
        <f>SUM(B47:M47)</f>
        <v>6644.29</v>
      </c>
    </row>
    <row r="48" spans="1:14" ht="27" customHeight="1" thickBot="1" x14ac:dyDescent="0.3">
      <c r="A48" s="15" t="s">
        <v>11</v>
      </c>
      <c r="B48" s="19">
        <f>B6+B17-B7</f>
        <v>-207210.2</v>
      </c>
      <c r="C48" s="19">
        <f t="shared" ref="C48:N48" si="25">C6+C17-C7</f>
        <v>-208517.44000000003</v>
      </c>
      <c r="D48" s="19">
        <f t="shared" si="25"/>
        <v>-204832.25000000003</v>
      </c>
      <c r="E48" s="19">
        <f t="shared" si="25"/>
        <v>-195700.68000000002</v>
      </c>
      <c r="F48" s="19">
        <f t="shared" si="25"/>
        <v>-206832.5</v>
      </c>
      <c r="G48" s="19">
        <f t="shared" si="25"/>
        <v>-205207.43</v>
      </c>
      <c r="H48" s="19">
        <f t="shared" si="25"/>
        <v>-218293.52</v>
      </c>
      <c r="I48" s="19">
        <f t="shared" si="25"/>
        <v>-212299.9</v>
      </c>
      <c r="J48" s="19">
        <f t="shared" si="25"/>
        <v>-220347.11</v>
      </c>
      <c r="K48" s="19">
        <f t="shared" si="25"/>
        <v>-222000.40999999997</v>
      </c>
      <c r="L48" s="19">
        <f>L6-L7+L17+L47</f>
        <v>-220947.53999999998</v>
      </c>
      <c r="M48" s="19">
        <f t="shared" ref="M48:N48" si="26">M6-M7+M17+M47</f>
        <v>-224079.40999999997</v>
      </c>
      <c r="N48" s="19">
        <f t="shared" si="26"/>
        <v>-224079.40999999995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2025-03-17T02:45:19Z</cp:lastPrinted>
  <dcterms:created xsi:type="dcterms:W3CDTF">2011-06-06T03:25:48Z</dcterms:created>
  <dcterms:modified xsi:type="dcterms:W3CDTF">2025-03-17T02:51:43Z</dcterms:modified>
</cp:coreProperties>
</file>