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19" i="1" l="1"/>
  <c r="M11" i="1"/>
  <c r="L11" i="1"/>
  <c r="K11" i="1"/>
  <c r="M39" i="1" l="1"/>
  <c r="M35" i="1" l="1"/>
  <c r="L35" i="1"/>
  <c r="K35" i="1" l="1"/>
  <c r="L39" i="1" l="1"/>
  <c r="K39" i="1" l="1"/>
  <c r="M37" i="1" l="1"/>
  <c r="L37" i="1"/>
  <c r="K37" i="1"/>
  <c r="L32" i="1" l="1"/>
  <c r="M32" i="1"/>
  <c r="K32" i="1"/>
  <c r="K29" i="1"/>
  <c r="L29" i="1"/>
  <c r="M29" i="1"/>
  <c r="M27" i="1" l="1"/>
  <c r="M16" i="1"/>
  <c r="M26" i="1"/>
  <c r="M8" i="1"/>
  <c r="L27" i="1" l="1"/>
  <c r="L16" i="1"/>
  <c r="L26" i="1"/>
  <c r="L8" i="1"/>
  <c r="N43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11" i="1" l="1"/>
  <c r="I11" i="1"/>
  <c r="H11" i="1"/>
  <c r="I26" i="1" l="1"/>
  <c r="I8" i="1"/>
  <c r="J39" i="1" l="1"/>
  <c r="J32" i="1" l="1"/>
  <c r="I32" i="1"/>
  <c r="H32" i="1"/>
  <c r="J29" i="1" l="1"/>
  <c r="I29" i="1"/>
  <c r="H29" i="1"/>
  <c r="J35" i="1" l="1"/>
  <c r="J34" i="1" l="1"/>
  <c r="I35" i="1" l="1"/>
  <c r="H35" i="1" l="1"/>
  <c r="J37" i="1" l="1"/>
  <c r="I37" i="1"/>
  <c r="H37" i="1"/>
  <c r="J27" i="1" l="1"/>
  <c r="J16" i="1"/>
  <c r="J26" i="1"/>
  <c r="J8" i="1"/>
  <c r="H39" i="1" l="1"/>
  <c r="I27" i="1" l="1"/>
  <c r="I16" i="1"/>
  <c r="H27" i="1" l="1"/>
  <c r="H16" i="1"/>
  <c r="H26" i="1"/>
  <c r="H8" i="1"/>
  <c r="H33" i="1" l="1"/>
  <c r="I33" i="1"/>
  <c r="J33" i="1"/>
  <c r="H28" i="1"/>
  <c r="I28" i="1"/>
  <c r="J28" i="1"/>
  <c r="H25" i="1"/>
  <c r="I25" i="1"/>
  <c r="J25" i="1"/>
  <c r="H24" i="1"/>
  <c r="I24" i="1"/>
  <c r="J24" i="1"/>
  <c r="G19" i="1" l="1"/>
  <c r="F19" i="1"/>
  <c r="G11" i="1"/>
  <c r="F11" i="1"/>
  <c r="E11" i="1"/>
  <c r="G39" i="1" l="1"/>
  <c r="G29" i="1" l="1"/>
  <c r="F29" i="1"/>
  <c r="E29" i="1"/>
  <c r="G37" i="1" l="1"/>
  <c r="F37" i="1"/>
  <c r="E37" i="1"/>
  <c r="G35" i="1" l="1"/>
  <c r="F35" i="1" l="1"/>
  <c r="E35" i="1" l="1"/>
  <c r="F39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 l="1"/>
  <c r="E28" i="1"/>
  <c r="F28" i="1"/>
  <c r="G28" i="1"/>
  <c r="E25" i="1"/>
  <c r="F25" i="1"/>
  <c r="G25" i="1"/>
  <c r="E24" i="1"/>
  <c r="F24" i="1"/>
  <c r="G24" i="1"/>
  <c r="D19" i="1" l="1"/>
  <c r="D11" i="1"/>
  <c r="C11" i="1"/>
  <c r="D37" i="1" l="1"/>
  <c r="C37" i="1"/>
  <c r="C39" i="1" l="1"/>
  <c r="D39" i="1" l="1"/>
  <c r="D35" i="1" l="1"/>
  <c r="C35" i="1" l="1"/>
  <c r="D29" i="1" l="1"/>
  <c r="C29" i="1"/>
  <c r="B29" i="1"/>
  <c r="N37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C33" i="1"/>
  <c r="D33" i="1"/>
  <c r="C28" i="1"/>
  <c r="D28" i="1"/>
  <c r="C25" i="1"/>
  <c r="D25" i="1"/>
  <c r="C24" i="1"/>
  <c r="D24" i="1"/>
  <c r="B35" i="1" l="1"/>
  <c r="B33" i="1"/>
  <c r="B28" i="1"/>
  <c r="B25" i="1"/>
  <c r="B24" i="1"/>
  <c r="N39" i="1" l="1"/>
  <c r="N38" i="1" l="1"/>
  <c r="N36" i="1"/>
  <c r="N34" i="1" l="1"/>
  <c r="N14" i="1" l="1"/>
  <c r="N6" i="1" l="1"/>
  <c r="N5" i="1"/>
  <c r="M15" i="1" l="1"/>
  <c r="M7" i="1"/>
  <c r="L15" i="1"/>
  <c r="K7" i="1"/>
  <c r="N24" i="1"/>
  <c r="N25" i="1"/>
  <c r="N28" i="1"/>
  <c r="N29" i="1"/>
  <c r="N30" i="1"/>
  <c r="N31" i="1"/>
  <c r="N32" i="1"/>
  <c r="N33" i="1"/>
  <c r="N35" i="1"/>
  <c r="N17" i="1"/>
  <c r="N18" i="1"/>
  <c r="N19" i="1"/>
  <c r="N20" i="1"/>
  <c r="N21" i="1"/>
  <c r="N22" i="1"/>
  <c r="K15" i="1"/>
  <c r="N9" i="1"/>
  <c r="N10" i="1"/>
  <c r="N11" i="1"/>
  <c r="N12" i="1"/>
  <c r="N13" i="1"/>
  <c r="L40" i="1" l="1"/>
  <c r="L41" i="1" s="1"/>
  <c r="K40" i="1"/>
  <c r="K41" i="1" s="1"/>
  <c r="M40" i="1"/>
  <c r="M41" i="1" s="1"/>
  <c r="L7" i="1"/>
  <c r="H15" i="1" l="1"/>
  <c r="I15" i="1"/>
  <c r="J15" i="1"/>
  <c r="I7" i="1"/>
  <c r="J7" i="1"/>
  <c r="J40" i="1" l="1"/>
  <c r="J41" i="1" s="1"/>
  <c r="H40" i="1"/>
  <c r="H7" i="1"/>
  <c r="I40" i="1"/>
  <c r="I41" i="1" s="1"/>
  <c r="H41" i="1" l="1"/>
  <c r="C15" i="1"/>
  <c r="D15" i="1"/>
  <c r="D40" i="1" s="1"/>
  <c r="D41" i="1" s="1"/>
  <c r="C7" i="1"/>
  <c r="D7" i="1"/>
  <c r="G7" i="1" l="1"/>
  <c r="F7" i="1"/>
  <c r="F15" i="1" l="1"/>
  <c r="G15" i="1"/>
  <c r="B15" i="1"/>
  <c r="B40" i="1" s="1"/>
  <c r="B41" i="1" s="1"/>
  <c r="B42" i="1" s="1"/>
  <c r="B7" i="1"/>
  <c r="B44" i="1" s="1"/>
  <c r="G40" i="1" l="1"/>
  <c r="G41" i="1" s="1"/>
  <c r="N26" i="1"/>
  <c r="N16" i="1"/>
  <c r="N27" i="1"/>
  <c r="E15" i="1"/>
  <c r="C6" i="1"/>
  <c r="C44" i="1" s="1"/>
  <c r="N8" i="1"/>
  <c r="E7" i="1"/>
  <c r="N7" i="1" s="1"/>
  <c r="F40" i="1"/>
  <c r="F41" i="1" s="1"/>
  <c r="C40" i="1"/>
  <c r="C41" i="1" s="1"/>
  <c r="N15" i="1" l="1"/>
  <c r="N44" i="1" s="1"/>
  <c r="D6" i="1"/>
  <c r="D44" i="1" s="1"/>
  <c r="E40" i="1"/>
  <c r="E41" i="1" s="1"/>
  <c r="N40" i="1" l="1"/>
  <c r="N41" i="1" s="1"/>
  <c r="N42" i="1" s="1"/>
  <c r="E6" i="1"/>
  <c r="E44" i="1" s="1"/>
  <c r="F6" i="1" s="1"/>
  <c r="F44" i="1" s="1"/>
  <c r="C5" i="1"/>
  <c r="C42" i="1" s="1"/>
  <c r="D5" i="1" l="1"/>
  <c r="D42" i="1" s="1"/>
  <c r="G6" i="1"/>
  <c r="G44" i="1" s="1"/>
  <c r="E5" i="1" l="1"/>
  <c r="E42" i="1" s="1"/>
  <c r="F5" i="1" s="1"/>
  <c r="F42" i="1" s="1"/>
  <c r="H6" i="1"/>
  <c r="H44" i="1" l="1"/>
  <c r="I6" i="1" s="1"/>
  <c r="G5" i="1"/>
  <c r="G42" i="1" s="1"/>
  <c r="I44" i="1" l="1"/>
  <c r="J6" i="1" s="1"/>
  <c r="H5" i="1"/>
  <c r="J44" i="1" l="1"/>
  <c r="K6" i="1" s="1"/>
  <c r="H42" i="1"/>
  <c r="I5" i="1" s="1"/>
  <c r="K44" i="1" l="1"/>
  <c r="L6" i="1" s="1"/>
  <c r="L44" i="1" s="1"/>
  <c r="I42" i="1"/>
  <c r="J5" i="1" s="1"/>
  <c r="M6" i="1" l="1"/>
  <c r="M44" i="1" s="1"/>
  <c r="J42" i="1"/>
  <c r="K5" i="1" s="1"/>
  <c r="K42" i="1" l="1"/>
  <c r="L5" i="1" s="1"/>
  <c r="L42" i="1" l="1"/>
  <c r="M5" i="1" s="1"/>
  <c r="M42" i="1" s="1"/>
</calcChain>
</file>

<file path=xl/sharedStrings.xml><?xml version="1.0" encoding="utf-8"?>
<sst xmlns="http://schemas.openxmlformats.org/spreadsheetml/2006/main" count="55" uniqueCount="47">
  <si>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</si>
  <si>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</si>
  <si>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</si>
  <si>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</si>
  <si>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</si>
  <si>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</si>
  <si>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</si>
  <si>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</si>
  <si>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</si>
  <si>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</si>
  <si>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</si>
  <si>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</si>
  <si>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</si>
  <si>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</si>
  <si>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</si>
  <si>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</si>
  <si>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</si>
  <si>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</si>
  <si>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</si>
  <si>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</si>
  <si>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</si>
  <si>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</si>
  <si>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</si>
  <si>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</si>
  <si>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</si>
  <si>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</si>
  <si>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Отведение сточных вод ОИ</t>
  </si>
  <si>
    <t>Содержание жилья и текущий ремонт,  ОПУ</t>
  </si>
  <si>
    <t xml:space="preserve">Периодическое техническое освидетельствование  лифтов </t>
  </si>
  <si>
    <t xml:space="preserve">Содержание жилья и текущий ремонт,  ОПУ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</si>
  <si>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</si>
  <si>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</si>
  <si>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</si>
  <si>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</si>
  <si>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</si>
  <si>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</si>
  <si>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</si>
  <si>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</si>
  <si>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</si>
  <si>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</si>
  <si>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</si>
  <si>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</si>
  <si>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</si>
  <si>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</si>
  <si>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</si>
  <si>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               ОТЧЕТ по дому Ленинградская, 57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</si>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</sst>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5" fillId="5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B10" zoomScale="75" workbookViewId="0">
      <selection activeCell="D19" sqref="D19"/>
    </sheetView>
  </sheetViews>
  <sheetFormatPr defaultRowHeight="13.2" x14ac:dyDescent="0.25"/>
  <cols>
    <col min="1" max="1" width="58.6640625" customWidth="1"/>
    <col min="2" max="2" width="15.33203125" customWidth="1"/>
    <col min="3" max="3" width="13.6640625" customWidth="1"/>
    <col min="4" max="4" width="14.5546875" customWidth="1"/>
    <col min="5" max="5" width="15.109375" customWidth="1"/>
    <col min="6" max="6" width="14.6640625" customWidth="1"/>
    <col min="7" max="7" width="15.109375" customWidth="1"/>
    <col min="8" max="8" width="14.5546875" customWidth="1"/>
    <col min="9" max="9" width="14.33203125" customWidth="1"/>
    <col min="10" max="13" width="13.44140625" customWidth="1"/>
    <col min="14" max="14" width="17.6640625" customWidth="1"/>
  </cols>
  <sheetData>
    <row r="1" spans="1:18" ht="20.25" customHeight="1" x14ac:dyDescent="0.35">
      <c r="A1" s="21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4" t="s">
        <v>0</v>
      </c>
      <c r="B4" s="15" t="s">
        <v>30</v>
      </c>
      <c r="C4" s="15" t="s">
        <v>31</v>
      </c>
      <c r="D4" s="15" t="s">
        <v>32</v>
      </c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5" t="s">
        <v>40</v>
      </c>
      <c r="M4" s="15" t="s">
        <v>41</v>
      </c>
      <c r="N4" s="15" t="s">
        <v>42</v>
      </c>
    </row>
    <row r="5" spans="1:18" ht="23.25" customHeight="1" thickBot="1" x14ac:dyDescent="0.3">
      <c r="A5" s="16" t="s">
        <v>15</v>
      </c>
      <c r="B5" s="5">
        <v>-516622.22</v>
      </c>
      <c r="C5" s="5">
        <f t="shared" ref="C5:D5" si="0">B42</f>
        <v>-486445.79287</v>
      </c>
      <c r="D5" s="5">
        <f t="shared" si="0"/>
        <v>-458200.85610000003</v>
      </c>
      <c r="E5" s="5">
        <f t="shared" ref="E5" si="1">D42</f>
        <v>-444944.98655000003</v>
      </c>
      <c r="F5" s="5">
        <f>E42</f>
        <v>-414011.48022000003</v>
      </c>
      <c r="G5" s="5">
        <f t="shared" ref="G5" si="2">F42</f>
        <v>-437851.24155000004</v>
      </c>
      <c r="H5" s="5">
        <f t="shared" ref="H5" si="3">G42</f>
        <v>-428465.27428000001</v>
      </c>
      <c r="I5" s="5">
        <f t="shared" ref="I5" si="4">H42</f>
        <v>-377774.53048000007</v>
      </c>
      <c r="J5" s="5">
        <f t="shared" ref="J5" si="5">I42</f>
        <v>-338439.02832000016</v>
      </c>
      <c r="K5" s="5">
        <f t="shared" ref="K5" si="6">J42</f>
        <v>-500396.50627000013</v>
      </c>
      <c r="L5" s="5">
        <f t="shared" ref="L5" si="7">K42</f>
        <v>-468670.73324000009</v>
      </c>
      <c r="M5" s="5">
        <f t="shared" ref="M5" si="8">L42</f>
        <v>-438861.36113000009</v>
      </c>
      <c r="N5" s="5">
        <f>B5</f>
        <v>-516622.22</v>
      </c>
    </row>
    <row r="6" spans="1:18" ht="21" customHeight="1" thickBot="1" x14ac:dyDescent="0.3">
      <c r="A6" s="16" t="s">
        <v>13</v>
      </c>
      <c r="B6" s="5">
        <v>-208586.01</v>
      </c>
      <c r="C6" s="5">
        <f t="shared" ref="C6:M6" si="9">B44</f>
        <v>-232696.77000000002</v>
      </c>
      <c r="D6" s="5">
        <f t="shared" si="9"/>
        <v>-228244.09000000005</v>
      </c>
      <c r="E6" s="5">
        <f t="shared" si="9"/>
        <v>-232795.57000000009</v>
      </c>
      <c r="F6" s="5">
        <f t="shared" si="9"/>
        <v>-202442.33000000005</v>
      </c>
      <c r="G6" s="5">
        <f t="shared" si="9"/>
        <v>-245011.99000000002</v>
      </c>
      <c r="H6" s="5">
        <f t="shared" si="9"/>
        <v>-250226.44999999998</v>
      </c>
      <c r="I6" s="5">
        <f t="shared" si="9"/>
        <v>-225745.47000000006</v>
      </c>
      <c r="J6" s="5">
        <f t="shared" si="9"/>
        <v>-226615.99000000014</v>
      </c>
      <c r="K6" s="5">
        <f t="shared" si="9"/>
        <v>-245043.30000000013</v>
      </c>
      <c r="L6" s="5">
        <f t="shared" si="9"/>
        <v>-242370.78000000012</v>
      </c>
      <c r="M6" s="5">
        <f t="shared" si="9"/>
        <v>-223775.78000000014</v>
      </c>
      <c r="N6" s="5">
        <f>B6</f>
        <v>-208586.01</v>
      </c>
    </row>
    <row r="7" spans="1:18" ht="20.25" customHeight="1" thickBot="1" x14ac:dyDescent="0.3">
      <c r="A7" s="17" t="s">
        <v>12</v>
      </c>
      <c r="B7" s="6">
        <f>SUM(B8:B14)</f>
        <v>183087.39</v>
      </c>
      <c r="C7" s="6">
        <f t="shared" ref="C7:M7" si="10">SUM(C8:C14)</f>
        <v>164471.21000000002</v>
      </c>
      <c r="D7" s="6">
        <f t="shared" si="10"/>
        <v>166277.55000000002</v>
      </c>
      <c r="E7" s="6">
        <f t="shared" si="10"/>
        <v>154638.08999999997</v>
      </c>
      <c r="F7" s="6">
        <f t="shared" si="10"/>
        <v>179664.25999999998</v>
      </c>
      <c r="G7" s="6">
        <f t="shared" si="10"/>
        <v>181251.56</v>
      </c>
      <c r="H7" s="6">
        <f t="shared" si="10"/>
        <v>179481.60000000003</v>
      </c>
      <c r="I7" s="6">
        <f t="shared" si="10"/>
        <v>180545.58000000005</v>
      </c>
      <c r="J7" s="6">
        <f t="shared" si="10"/>
        <v>182505.35</v>
      </c>
      <c r="K7" s="6">
        <f t="shared" si="10"/>
        <v>182753.03999999998</v>
      </c>
      <c r="L7" s="6">
        <f t="shared" si="10"/>
        <v>179656.13</v>
      </c>
      <c r="M7" s="6">
        <f t="shared" si="10"/>
        <v>180872.13</v>
      </c>
      <c r="N7" s="6">
        <f>SUM(B7:M7)</f>
        <v>2115203.89</v>
      </c>
    </row>
    <row r="8" spans="1:18" ht="24.75" customHeight="1" thickBot="1" x14ac:dyDescent="0.3">
      <c r="A8" s="4" t="s">
        <v>27</v>
      </c>
      <c r="B8" s="7">
        <f>129286.19+1143.26</f>
        <v>130429.45</v>
      </c>
      <c r="C8" s="7">
        <f>129286.19+1143.26</f>
        <v>130429.45</v>
      </c>
      <c r="D8" s="7">
        <f>129286.19+1143.26</f>
        <v>130429.45</v>
      </c>
      <c r="E8" s="7">
        <f>129286.19+1143.26</f>
        <v>130429.45</v>
      </c>
      <c r="F8" s="7">
        <f>129286.19+1143.26</f>
        <v>130429.45</v>
      </c>
      <c r="G8" s="7">
        <f>150522.91+1143.26</f>
        <v>151666.17000000001</v>
      </c>
      <c r="H8" s="7">
        <f>150522.91+1143.26</f>
        <v>151666.17000000001</v>
      </c>
      <c r="I8" s="7">
        <f>150522.91+1143.26</f>
        <v>151666.17000000001</v>
      </c>
      <c r="J8" s="7">
        <f>150457.86+1142.76</f>
        <v>151600.62</v>
      </c>
      <c r="K8" s="7">
        <f>150457.86+1142.76</f>
        <v>151600.62</v>
      </c>
      <c r="L8" s="7">
        <f>150457.86+1142.76</f>
        <v>151600.62</v>
      </c>
      <c r="M8" s="7">
        <f>150457.86+1142.76</f>
        <v>151600.62</v>
      </c>
      <c r="N8" s="7">
        <f>SUM(B8:M8)</f>
        <v>1713548.2400000002</v>
      </c>
    </row>
    <row r="9" spans="1:18" ht="24.75" customHeight="1" thickBot="1" x14ac:dyDescent="0.3">
      <c r="A9" s="4" t="s">
        <v>16</v>
      </c>
      <c r="B9" s="7">
        <v>30608</v>
      </c>
      <c r="C9" s="7">
        <v>13124.84</v>
      </c>
      <c r="D9" s="7">
        <v>13134.25</v>
      </c>
      <c r="E9" s="7">
        <v>3615.47</v>
      </c>
      <c r="F9" s="7">
        <v>25906.66</v>
      </c>
      <c r="G9" s="7">
        <v>2415.36</v>
      </c>
      <c r="H9" s="7">
        <v>2701.91</v>
      </c>
      <c r="I9" s="7">
        <v>3603.01</v>
      </c>
      <c r="J9" s="7">
        <v>3603.46</v>
      </c>
      <c r="K9" s="7">
        <v>3603.46</v>
      </c>
      <c r="L9" s="7">
        <v>3603.46</v>
      </c>
      <c r="M9" s="7">
        <v>3603.46</v>
      </c>
      <c r="N9" s="7">
        <f t="shared" ref="N9:N14" si="11">SUM(B9:M9)</f>
        <v>109523.34000000003</v>
      </c>
    </row>
    <row r="10" spans="1:18" ht="21.75" customHeight="1" thickBot="1" x14ac:dyDescent="0.3">
      <c r="A10" s="4" t="s">
        <v>17</v>
      </c>
      <c r="B10" s="7">
        <v>530.94000000000005</v>
      </c>
      <c r="C10" s="7">
        <v>530.94000000000005</v>
      </c>
      <c r="D10" s="7">
        <v>530.96</v>
      </c>
      <c r="E10" s="7">
        <v>530.96</v>
      </c>
      <c r="F10" s="7">
        <v>530.96</v>
      </c>
      <c r="G10" s="7">
        <v>530.96</v>
      </c>
      <c r="H10" s="7">
        <v>586.6</v>
      </c>
      <c r="I10" s="7">
        <v>586.6</v>
      </c>
      <c r="J10" s="7">
        <v>586.55999999999995</v>
      </c>
      <c r="K10" s="7">
        <v>586.55999999999995</v>
      </c>
      <c r="L10" s="7">
        <v>586.55999999999995</v>
      </c>
      <c r="M10" s="7">
        <v>586.55999999999995</v>
      </c>
      <c r="N10" s="7">
        <f t="shared" si="11"/>
        <v>6705.159999999998</v>
      </c>
    </row>
    <row r="11" spans="1:18" ht="22.5" customHeight="1" thickBot="1" x14ac:dyDescent="0.3">
      <c r="A11" s="4" t="s">
        <v>18</v>
      </c>
      <c r="B11" s="7">
        <v>8561.5300000000007</v>
      </c>
      <c r="C11" s="7">
        <f>6457.41+971.1</f>
        <v>7428.51</v>
      </c>
      <c r="D11" s="7">
        <f>8337.32+888.1</f>
        <v>9225.42</v>
      </c>
      <c r="E11" s="7">
        <f>6216.64+888.1</f>
        <v>7104.7400000000007</v>
      </c>
      <c r="F11" s="7">
        <f>9188.17+651.55</f>
        <v>9839.7199999999993</v>
      </c>
      <c r="G11" s="7">
        <f>7133.89+568.55</f>
        <v>7702.4400000000005</v>
      </c>
      <c r="H11" s="7">
        <f>5146.08+285</f>
        <v>5431.08</v>
      </c>
      <c r="I11" s="7">
        <f>4964.86+629.1</f>
        <v>5593.96</v>
      </c>
      <c r="J11" s="7">
        <f>6921.82+697.1</f>
        <v>7618.92</v>
      </c>
      <c r="K11" s="7">
        <f>7379.36+487.25</f>
        <v>7866.61</v>
      </c>
      <c r="L11" s="7">
        <f>4022.7+747</f>
        <v>4769.7</v>
      </c>
      <c r="M11" s="7">
        <f>5227.7+758</f>
        <v>5985.7</v>
      </c>
      <c r="N11" s="7">
        <f t="shared" si="11"/>
        <v>87128.33</v>
      </c>
    </row>
    <row r="12" spans="1:18" ht="22.5" customHeight="1" thickBot="1" x14ac:dyDescent="0.3">
      <c r="A12" s="4" t="s">
        <v>43</v>
      </c>
      <c r="B12" s="7">
        <v>9038.2900000000009</v>
      </c>
      <c r="C12" s="7">
        <v>9038.2900000000009</v>
      </c>
      <c r="D12" s="7">
        <v>9038.2900000000009</v>
      </c>
      <c r="E12" s="7">
        <v>9038.2900000000009</v>
      </c>
      <c r="F12" s="7">
        <v>9038.2900000000009</v>
      </c>
      <c r="G12" s="7">
        <v>15017.45</v>
      </c>
      <c r="H12" s="7">
        <v>15017.45</v>
      </c>
      <c r="I12" s="7">
        <v>15017.45</v>
      </c>
      <c r="J12" s="7">
        <v>15017.45</v>
      </c>
      <c r="K12" s="7">
        <v>15017.45</v>
      </c>
      <c r="L12" s="7">
        <v>15017.45</v>
      </c>
      <c r="M12" s="7">
        <v>15017.45</v>
      </c>
      <c r="N12" s="7">
        <f t="shared" si="11"/>
        <v>150313.60000000001</v>
      </c>
    </row>
    <row r="13" spans="1:18" ht="22.5" customHeight="1" thickBot="1" x14ac:dyDescent="0.3">
      <c r="A13" s="4" t="s">
        <v>26</v>
      </c>
      <c r="B13" s="7">
        <v>1024.18</v>
      </c>
      <c r="C13" s="7">
        <v>1024.18</v>
      </c>
      <c r="D13" s="7">
        <v>1024.18</v>
      </c>
      <c r="E13" s="7">
        <v>1024.18</v>
      </c>
      <c r="F13" s="7">
        <v>1024.18</v>
      </c>
      <c r="G13" s="7">
        <v>1024.18</v>
      </c>
      <c r="H13" s="7">
        <v>1183.3900000000001</v>
      </c>
      <c r="I13" s="7">
        <v>1183.3900000000001</v>
      </c>
      <c r="J13" s="7">
        <v>1183.3399999999999</v>
      </c>
      <c r="K13" s="7">
        <v>1183.3399999999999</v>
      </c>
      <c r="L13" s="7">
        <v>1183.3399999999999</v>
      </c>
      <c r="M13" s="7">
        <v>1183.3399999999999</v>
      </c>
      <c r="N13" s="7">
        <f t="shared" si="11"/>
        <v>13245.220000000001</v>
      </c>
    </row>
    <row r="14" spans="1:18" ht="24" customHeight="1" thickBot="1" x14ac:dyDescent="0.3">
      <c r="A14" s="4" t="s">
        <v>14</v>
      </c>
      <c r="B14" s="7">
        <v>2895</v>
      </c>
      <c r="C14" s="7">
        <v>2895</v>
      </c>
      <c r="D14" s="7">
        <v>2895</v>
      </c>
      <c r="E14" s="7">
        <v>2895</v>
      </c>
      <c r="F14" s="7">
        <v>2895</v>
      </c>
      <c r="G14" s="7">
        <v>2895</v>
      </c>
      <c r="H14" s="7">
        <v>2895</v>
      </c>
      <c r="I14" s="7">
        <v>2895</v>
      </c>
      <c r="J14" s="7">
        <v>2895</v>
      </c>
      <c r="K14" s="7">
        <v>2895</v>
      </c>
      <c r="L14" s="7">
        <v>2895</v>
      </c>
      <c r="M14" s="7">
        <v>2895</v>
      </c>
      <c r="N14" s="7">
        <f t="shared" si="11"/>
        <v>34740</v>
      </c>
    </row>
    <row r="15" spans="1:18" ht="20.25" customHeight="1" thickBot="1" x14ac:dyDescent="0.3">
      <c r="A15" s="18" t="s">
        <v>8</v>
      </c>
      <c r="B15" s="8">
        <f t="shared" ref="B15:M15" si="12">SUM(B16:B22)</f>
        <v>158976.63</v>
      </c>
      <c r="C15" s="8">
        <f t="shared" si="12"/>
        <v>168923.88999999998</v>
      </c>
      <c r="D15" s="8">
        <f t="shared" si="12"/>
        <v>161726.06999999998</v>
      </c>
      <c r="E15" s="8">
        <f t="shared" si="12"/>
        <v>184991.33000000002</v>
      </c>
      <c r="F15" s="8">
        <f t="shared" si="12"/>
        <v>137094.6</v>
      </c>
      <c r="G15" s="8">
        <f t="shared" si="12"/>
        <v>176037.10000000003</v>
      </c>
      <c r="H15" s="8">
        <f t="shared" si="12"/>
        <v>203962.57999999996</v>
      </c>
      <c r="I15" s="8">
        <f t="shared" si="12"/>
        <v>179675.05999999997</v>
      </c>
      <c r="J15" s="8">
        <f t="shared" si="12"/>
        <v>164078.04</v>
      </c>
      <c r="K15" s="8">
        <f t="shared" si="12"/>
        <v>185425.56</v>
      </c>
      <c r="L15" s="8">
        <f t="shared" si="12"/>
        <v>178971.03</v>
      </c>
      <c r="M15" s="8">
        <f t="shared" si="12"/>
        <v>184827.35</v>
      </c>
      <c r="N15" s="8">
        <f>SUM(B15:M15)</f>
        <v>2084689.24</v>
      </c>
    </row>
    <row r="16" spans="1:18" ht="24" customHeight="1" thickBot="1" x14ac:dyDescent="0.3">
      <c r="A16" s="4" t="s">
        <v>29</v>
      </c>
      <c r="B16" s="7">
        <f>124655.02+1077.69</f>
        <v>125732.71</v>
      </c>
      <c r="C16" s="7">
        <f>120171.37+1066.45</f>
        <v>121237.81999999999</v>
      </c>
      <c r="D16" s="7">
        <f>128887.98+1106.92</f>
        <v>129994.9</v>
      </c>
      <c r="E16" s="7">
        <f>147838.12-104.77+1297.7</f>
        <v>149031.05000000002</v>
      </c>
      <c r="F16" s="7">
        <f>115367.28+1028.66</f>
        <v>116395.94</v>
      </c>
      <c r="G16" s="7">
        <f>129938.35+1135.69</f>
        <v>131074.04</v>
      </c>
      <c r="H16" s="7">
        <f>167386.34+1295.83</f>
        <v>168682.16999999998</v>
      </c>
      <c r="I16" s="7">
        <f>151229.33+1144.76</f>
        <v>152374.09</v>
      </c>
      <c r="J16" s="7">
        <f>138801.32+1035.35</f>
        <v>139836.67000000001</v>
      </c>
      <c r="K16" s="7">
        <f>150564.03+1110.43</f>
        <v>151674.46</v>
      </c>
      <c r="L16" s="7">
        <f>149160.51+1131.65</f>
        <v>150292.16</v>
      </c>
      <c r="M16" s="7">
        <f>147476.97+1519.19</f>
        <v>148996.16</v>
      </c>
      <c r="N16" s="7">
        <f>SUM(B16:M16)</f>
        <v>1685322.1699999997</v>
      </c>
    </row>
    <row r="17" spans="1:15" ht="26.25" customHeight="1" thickBot="1" x14ac:dyDescent="0.3">
      <c r="A17" s="4" t="s">
        <v>16</v>
      </c>
      <c r="B17" s="7">
        <v>80.83</v>
      </c>
      <c r="C17" s="7">
        <v>28657.97</v>
      </c>
      <c r="D17" s="7">
        <v>13273.65</v>
      </c>
      <c r="E17" s="7">
        <v>13749.36</v>
      </c>
      <c r="F17" s="7">
        <v>3340.36</v>
      </c>
      <c r="G17" s="7">
        <v>23883.1</v>
      </c>
      <c r="H17" s="7">
        <v>4609.96</v>
      </c>
      <c r="I17" s="7">
        <v>2953.86</v>
      </c>
      <c r="J17" s="7">
        <v>3447.09</v>
      </c>
      <c r="K17" s="7">
        <v>3622.48</v>
      </c>
      <c r="L17" s="7">
        <v>3532.52</v>
      </c>
      <c r="M17" s="7">
        <v>188.51</v>
      </c>
      <c r="N17" s="7">
        <f t="shared" ref="N17:N22" si="13">SUM(B17:M17)</f>
        <v>101339.69</v>
      </c>
    </row>
    <row r="18" spans="1:15" ht="26.25" customHeight="1" thickBot="1" x14ac:dyDescent="0.3">
      <c r="A18" s="4" t="s">
        <v>17</v>
      </c>
      <c r="B18" s="7">
        <v>515.58000000000004</v>
      </c>
      <c r="C18" s="7">
        <v>453.94</v>
      </c>
      <c r="D18" s="7">
        <v>533.42999999999995</v>
      </c>
      <c r="E18" s="7">
        <v>608.15</v>
      </c>
      <c r="F18" s="7">
        <v>474.39</v>
      </c>
      <c r="G18" s="7">
        <v>534.44000000000005</v>
      </c>
      <c r="H18" s="7">
        <v>614.62</v>
      </c>
      <c r="I18" s="7">
        <v>583.97</v>
      </c>
      <c r="J18" s="7">
        <v>547.78</v>
      </c>
      <c r="K18" s="7">
        <v>587.82000000000005</v>
      </c>
      <c r="L18" s="7">
        <v>581.47</v>
      </c>
      <c r="M18" s="7">
        <v>574.37</v>
      </c>
      <c r="N18" s="7">
        <f t="shared" si="13"/>
        <v>6609.9599999999991</v>
      </c>
    </row>
    <row r="19" spans="1:15" ht="24" customHeight="1" thickBot="1" x14ac:dyDescent="0.3">
      <c r="A19" s="4" t="s">
        <v>18</v>
      </c>
      <c r="B19" s="7">
        <v>6279.16</v>
      </c>
      <c r="C19" s="7">
        <v>7890.25</v>
      </c>
      <c r="D19" s="7">
        <f>6547.77+971.1</f>
        <v>7518.8700000000008</v>
      </c>
      <c r="E19" s="7">
        <v>9528.68</v>
      </c>
      <c r="F19" s="7">
        <f>5612.15+888.1</f>
        <v>6500.25</v>
      </c>
      <c r="G19" s="7">
        <f>9009.67+651.55</f>
        <v>9661.2199999999993</v>
      </c>
      <c r="H19" s="7">
        <v>8284.83</v>
      </c>
      <c r="I19" s="7">
        <v>5196.37</v>
      </c>
      <c r="J19" s="7">
        <v>4811.55</v>
      </c>
      <c r="K19" s="7">
        <v>6820.78</v>
      </c>
      <c r="L19" s="7">
        <v>7268.42</v>
      </c>
      <c r="M19" s="7">
        <f>4075.62+1993.07</f>
        <v>6068.69</v>
      </c>
      <c r="N19" s="7">
        <f t="shared" si="13"/>
        <v>85829.07</v>
      </c>
    </row>
    <row r="20" spans="1:15" ht="24" customHeight="1" thickBot="1" x14ac:dyDescent="0.3">
      <c r="A20" s="4" t="s">
        <v>43</v>
      </c>
      <c r="B20" s="7">
        <v>8781.4699999999993</v>
      </c>
      <c r="C20" s="7">
        <v>8447</v>
      </c>
      <c r="D20" s="7">
        <v>8784.8799999999992</v>
      </c>
      <c r="E20" s="7">
        <v>10305.34</v>
      </c>
      <c r="F20" s="7">
        <v>8193.59</v>
      </c>
      <c r="G20" s="7">
        <v>9256.51</v>
      </c>
      <c r="H20" s="7">
        <v>16000.54</v>
      </c>
      <c r="I20" s="7">
        <v>15068.9</v>
      </c>
      <c r="J20" s="7">
        <v>13733.54</v>
      </c>
      <c r="K20" s="7">
        <v>14937.56</v>
      </c>
      <c r="L20" s="7">
        <v>14848.35</v>
      </c>
      <c r="M20" s="7">
        <v>15243.75</v>
      </c>
      <c r="N20" s="7">
        <f t="shared" si="13"/>
        <v>143601.43</v>
      </c>
    </row>
    <row r="21" spans="1:15" ht="24" customHeight="1" thickBot="1" x14ac:dyDescent="0.3">
      <c r="A21" s="4" t="s">
        <v>26</v>
      </c>
      <c r="B21" s="7">
        <v>986.88</v>
      </c>
      <c r="C21" s="7">
        <v>961.91</v>
      </c>
      <c r="D21" s="7">
        <v>1020.34</v>
      </c>
      <c r="E21" s="7">
        <v>1168.75</v>
      </c>
      <c r="F21" s="7">
        <v>915.07</v>
      </c>
      <c r="G21" s="7">
        <v>1027.79</v>
      </c>
      <c r="H21" s="7">
        <v>1170.46</v>
      </c>
      <c r="I21" s="7">
        <v>1172.8699999999999</v>
      </c>
      <c r="J21" s="7">
        <v>1101.4100000000001</v>
      </c>
      <c r="K21" s="7">
        <v>1182.46</v>
      </c>
      <c r="L21" s="7">
        <v>1173.1099999999999</v>
      </c>
      <c r="M21" s="7">
        <v>1155.8699999999999</v>
      </c>
      <c r="N21" s="7">
        <f t="shared" si="13"/>
        <v>13036.919999999998</v>
      </c>
    </row>
    <row r="22" spans="1:15" ht="21" customHeight="1" thickBot="1" x14ac:dyDescent="0.3">
      <c r="A22" s="4" t="s">
        <v>14</v>
      </c>
      <c r="B22" s="9">
        <v>16600</v>
      </c>
      <c r="C22" s="9">
        <v>1275</v>
      </c>
      <c r="D22" s="9">
        <v>600</v>
      </c>
      <c r="E22" s="9">
        <v>600</v>
      </c>
      <c r="F22" s="9">
        <v>1275</v>
      </c>
      <c r="G22" s="9">
        <v>600</v>
      </c>
      <c r="H22" s="7">
        <v>4600</v>
      </c>
      <c r="I22" s="7">
        <v>2325</v>
      </c>
      <c r="J22" s="7">
        <v>600</v>
      </c>
      <c r="K22" s="7">
        <v>6600</v>
      </c>
      <c r="L22" s="7">
        <v>1275</v>
      </c>
      <c r="M22" s="7">
        <v>12600</v>
      </c>
      <c r="N22" s="7">
        <f t="shared" si="13"/>
        <v>48950</v>
      </c>
      <c r="O22" s="3"/>
    </row>
    <row r="23" spans="1:15" ht="21.75" customHeight="1" thickBot="1" x14ac:dyDescent="0.3">
      <c r="A23" s="19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1:15" ht="19.5" customHeight="1" thickBot="1" x14ac:dyDescent="0.3">
      <c r="A24" s="4" t="s">
        <v>1</v>
      </c>
      <c r="B24" s="7">
        <f t="shared" ref="B24:M24" si="14">6016.1*0.6</f>
        <v>3609.6600000000003</v>
      </c>
      <c r="C24" s="7">
        <f t="shared" si="14"/>
        <v>3609.6600000000003</v>
      </c>
      <c r="D24" s="7">
        <f t="shared" si="14"/>
        <v>3609.6600000000003</v>
      </c>
      <c r="E24" s="7">
        <f t="shared" si="14"/>
        <v>3609.6600000000003</v>
      </c>
      <c r="F24" s="7">
        <f t="shared" si="14"/>
        <v>3609.6600000000003</v>
      </c>
      <c r="G24" s="7">
        <f t="shared" si="14"/>
        <v>3609.6600000000003</v>
      </c>
      <c r="H24" s="7">
        <f t="shared" si="14"/>
        <v>3609.6600000000003</v>
      </c>
      <c r="I24" s="7">
        <f t="shared" si="14"/>
        <v>3609.6600000000003</v>
      </c>
      <c r="J24" s="7">
        <f t="shared" si="14"/>
        <v>3609.6600000000003</v>
      </c>
      <c r="K24" s="7">
        <f t="shared" si="14"/>
        <v>3609.6600000000003</v>
      </c>
      <c r="L24" s="7">
        <f t="shared" si="14"/>
        <v>3609.6600000000003</v>
      </c>
      <c r="M24" s="7">
        <f t="shared" si="14"/>
        <v>3609.6600000000003</v>
      </c>
      <c r="N24" s="7">
        <f t="shared" ref="N24:N35" si="15">SUM(B24:M24)</f>
        <v>43315.920000000013</v>
      </c>
    </row>
    <row r="25" spans="1:15" ht="22.5" customHeight="1" thickBot="1" x14ac:dyDescent="0.3">
      <c r="A25" s="4" t="s">
        <v>2</v>
      </c>
      <c r="B25" s="7">
        <f t="shared" ref="B25:M25" si="16">6016.1*0.17</f>
        <v>1022.7370000000001</v>
      </c>
      <c r="C25" s="7">
        <f t="shared" si="16"/>
        <v>1022.7370000000001</v>
      </c>
      <c r="D25" s="7">
        <f t="shared" si="16"/>
        <v>1022.7370000000001</v>
      </c>
      <c r="E25" s="7">
        <f t="shared" si="16"/>
        <v>1022.7370000000001</v>
      </c>
      <c r="F25" s="7">
        <f t="shared" si="16"/>
        <v>1022.7370000000001</v>
      </c>
      <c r="G25" s="7">
        <f t="shared" si="16"/>
        <v>1022.7370000000001</v>
      </c>
      <c r="H25" s="7">
        <f t="shared" si="16"/>
        <v>1022.7370000000001</v>
      </c>
      <c r="I25" s="7">
        <f t="shared" si="16"/>
        <v>1022.7370000000001</v>
      </c>
      <c r="J25" s="7">
        <f t="shared" si="16"/>
        <v>1022.7370000000001</v>
      </c>
      <c r="K25" s="7">
        <f t="shared" si="16"/>
        <v>1022.7370000000001</v>
      </c>
      <c r="L25" s="7">
        <f t="shared" si="16"/>
        <v>1022.7370000000001</v>
      </c>
      <c r="M25" s="7">
        <f t="shared" si="16"/>
        <v>1022.7370000000001</v>
      </c>
      <c r="N25" s="7">
        <f t="shared" si="15"/>
        <v>12272.844000000005</v>
      </c>
    </row>
    <row r="26" spans="1:15" ht="21" customHeight="1" thickBot="1" x14ac:dyDescent="0.3">
      <c r="A26" s="4" t="s">
        <v>3</v>
      </c>
      <c r="B26" s="7">
        <f>180192.39*2.3%</f>
        <v>4144.42497</v>
      </c>
      <c r="C26" s="7">
        <f>160605.11*2.3%</f>
        <v>3693.9175299999997</v>
      </c>
      <c r="D26" s="7">
        <f>162494.45*2.3%</f>
        <v>3737.3723500000001</v>
      </c>
      <c r="E26" s="7">
        <f>150854.99*2.3%</f>
        <v>3469.6647699999999</v>
      </c>
      <c r="F26" s="7">
        <f>176117.71*2.3%</f>
        <v>4050.7073299999997</v>
      </c>
      <c r="G26" s="7">
        <f>177788.01*2.3%</f>
        <v>4089.1242300000004</v>
      </c>
      <c r="H26" s="7">
        <f>176301.6*2.3%</f>
        <v>4054.9367999999999</v>
      </c>
      <c r="I26" s="7">
        <f>177021.48*2.3%</f>
        <v>4071.49404</v>
      </c>
      <c r="J26" s="7">
        <f>178913.25*2.3%</f>
        <v>4115.0047500000001</v>
      </c>
      <c r="K26" s="7">
        <f>179370.79*2.3%</f>
        <v>4125.5281700000005</v>
      </c>
      <c r="L26" s="7">
        <f>176014.13*2.3%</f>
        <v>4048.3249900000001</v>
      </c>
      <c r="M26" s="7">
        <f>177219.13*2.3%</f>
        <v>4076.0399900000002</v>
      </c>
      <c r="N26" s="7">
        <f t="shared" si="15"/>
        <v>47676.539920000003</v>
      </c>
    </row>
    <row r="27" spans="1:15" ht="23.25" customHeight="1" thickBot="1" x14ac:dyDescent="0.3">
      <c r="A27" s="4" t="s">
        <v>4</v>
      </c>
      <c r="B27" s="7">
        <f>142376.63*3%</f>
        <v>4271.2988999999998</v>
      </c>
      <c r="C27" s="7">
        <f>167648.89*3%</f>
        <v>5029.4666999999999</v>
      </c>
      <c r="D27" s="7">
        <f>160154.97*3%</f>
        <v>4804.6490999999996</v>
      </c>
      <c r="E27" s="7">
        <f>184391.33*3%</f>
        <v>5531.7398999999996</v>
      </c>
      <c r="F27" s="7">
        <f>134931.5*3%</f>
        <v>4047.9449999999997</v>
      </c>
      <c r="G27" s="7">
        <f>174785.55*3%</f>
        <v>5243.5664999999999</v>
      </c>
      <c r="H27" s="7">
        <f>199362.58*3%</f>
        <v>5980.8773999999994</v>
      </c>
      <c r="I27" s="7">
        <f>177350.06*3%</f>
        <v>5320.5018</v>
      </c>
      <c r="J27" s="7">
        <f>163478.04*3%</f>
        <v>4904.3411999999998</v>
      </c>
      <c r="K27" s="7">
        <f>178825.56*3%</f>
        <v>5364.7667999999994</v>
      </c>
      <c r="L27" s="7">
        <f>177696.03*3%</f>
        <v>5330.8809000000001</v>
      </c>
      <c r="M27" s="7">
        <f>170234.28*3%</f>
        <v>5107.0284000000001</v>
      </c>
      <c r="N27" s="7">
        <f t="shared" si="15"/>
        <v>60937.062599999997</v>
      </c>
    </row>
    <row r="28" spans="1:15" ht="23.25" customHeight="1" thickBot="1" x14ac:dyDescent="0.3">
      <c r="A28" s="4" t="s">
        <v>9</v>
      </c>
      <c r="B28" s="7">
        <f t="shared" ref="B28:M28" si="17">6016.1*8.5</f>
        <v>51136.850000000006</v>
      </c>
      <c r="C28" s="7">
        <f t="shared" si="17"/>
        <v>51136.850000000006</v>
      </c>
      <c r="D28" s="7">
        <f t="shared" si="17"/>
        <v>51136.850000000006</v>
      </c>
      <c r="E28" s="7">
        <f t="shared" si="17"/>
        <v>51136.850000000006</v>
      </c>
      <c r="F28" s="7">
        <f t="shared" si="17"/>
        <v>51136.850000000006</v>
      </c>
      <c r="G28" s="7">
        <f t="shared" si="17"/>
        <v>51136.850000000006</v>
      </c>
      <c r="H28" s="7">
        <f t="shared" si="17"/>
        <v>51136.850000000006</v>
      </c>
      <c r="I28" s="7">
        <f t="shared" si="17"/>
        <v>51136.850000000006</v>
      </c>
      <c r="J28" s="7">
        <f t="shared" si="17"/>
        <v>51136.850000000006</v>
      </c>
      <c r="K28" s="7">
        <f t="shared" si="17"/>
        <v>51136.850000000006</v>
      </c>
      <c r="L28" s="7">
        <f t="shared" si="17"/>
        <v>51136.850000000006</v>
      </c>
      <c r="M28" s="7">
        <f t="shared" si="17"/>
        <v>51136.850000000006</v>
      </c>
      <c r="N28" s="7">
        <f t="shared" si="15"/>
        <v>613642.19999999995</v>
      </c>
    </row>
    <row r="29" spans="1:15" ht="26.25" customHeight="1" thickBot="1" x14ac:dyDescent="0.3">
      <c r="A29" s="4" t="s">
        <v>19</v>
      </c>
      <c r="B29" s="7">
        <f>11742.51+1382.32</f>
        <v>13124.83</v>
      </c>
      <c r="C29" s="7">
        <f>11750.95+1383.3</f>
        <v>13134.25</v>
      </c>
      <c r="D29" s="7">
        <f>3234.83+380.8</f>
        <v>3615.63</v>
      </c>
      <c r="E29" s="7">
        <f>23178.21+2728.49</f>
        <v>25906.699999999997</v>
      </c>
      <c r="F29" s="7">
        <f>2161+254.38</f>
        <v>2415.38</v>
      </c>
      <c r="G29" s="7">
        <f>2417.41+284.57</f>
        <v>2701.98</v>
      </c>
      <c r="H29" s="7">
        <f>3249.53+353.69</f>
        <v>3603.2200000000003</v>
      </c>
      <c r="I29" s="7">
        <f>3249.53+353.69</f>
        <v>3603.2200000000003</v>
      </c>
      <c r="J29" s="7">
        <f>3249.53+353.69</f>
        <v>3603.2200000000003</v>
      </c>
      <c r="K29" s="7">
        <f t="shared" ref="K29:M29" si="18">3249.53+353.69</f>
        <v>3603.2200000000003</v>
      </c>
      <c r="L29" s="7">
        <f t="shared" si="18"/>
        <v>3603.2200000000003</v>
      </c>
      <c r="M29" s="7">
        <f t="shared" si="18"/>
        <v>3603.2200000000003</v>
      </c>
      <c r="N29" s="7">
        <f t="shared" si="15"/>
        <v>82518.090000000011</v>
      </c>
    </row>
    <row r="30" spans="1:15" ht="26.25" customHeight="1" thickBot="1" x14ac:dyDescent="0.3">
      <c r="A30" s="4" t="s">
        <v>20</v>
      </c>
      <c r="B30" s="7">
        <v>796.33</v>
      </c>
      <c r="C30" s="7">
        <v>796.33</v>
      </c>
      <c r="D30" s="7">
        <v>796.33</v>
      </c>
      <c r="E30" s="7">
        <v>796.33</v>
      </c>
      <c r="F30" s="7">
        <v>796.33</v>
      </c>
      <c r="G30" s="7">
        <v>796.33</v>
      </c>
      <c r="H30" s="7">
        <v>879.97</v>
      </c>
      <c r="I30" s="7">
        <v>879.97</v>
      </c>
      <c r="J30" s="7">
        <v>879.97</v>
      </c>
      <c r="K30" s="7">
        <v>879.97</v>
      </c>
      <c r="L30" s="7">
        <v>879.97</v>
      </c>
      <c r="M30" s="7">
        <v>879.97</v>
      </c>
      <c r="N30" s="7">
        <f t="shared" si="15"/>
        <v>10057.799999999999</v>
      </c>
    </row>
    <row r="31" spans="1:15" ht="26.25" customHeight="1" thickBot="1" x14ac:dyDescent="0.3">
      <c r="A31" s="4" t="s">
        <v>21</v>
      </c>
      <c r="B31" s="7">
        <v>7428.5</v>
      </c>
      <c r="C31" s="7">
        <v>9316.75</v>
      </c>
      <c r="D31" s="7">
        <v>7104.8</v>
      </c>
      <c r="E31" s="7">
        <v>10072.049999999999</v>
      </c>
      <c r="F31" s="7">
        <v>7785.4</v>
      </c>
      <c r="G31" s="7">
        <v>5714.55</v>
      </c>
      <c r="H31" s="7">
        <v>5594.55</v>
      </c>
      <c r="I31" s="7">
        <v>7619.46</v>
      </c>
      <c r="J31" s="7">
        <v>7868.61</v>
      </c>
      <c r="K31" s="7">
        <v>4770.09</v>
      </c>
      <c r="L31" s="7">
        <v>5984.13</v>
      </c>
      <c r="M31" s="7">
        <v>12144.93</v>
      </c>
      <c r="N31" s="7">
        <f t="shared" si="15"/>
        <v>91403.82</v>
      </c>
    </row>
    <row r="32" spans="1:15" ht="26.25" customHeight="1" thickBot="1" x14ac:dyDescent="0.3">
      <c r="A32" s="4" t="s">
        <v>26</v>
      </c>
      <c r="B32" s="7">
        <v>1024.4000000000001</v>
      </c>
      <c r="C32" s="7">
        <v>1024.4000000000001</v>
      </c>
      <c r="D32" s="7">
        <v>1024.4000000000001</v>
      </c>
      <c r="E32" s="7">
        <v>1024.4000000000001</v>
      </c>
      <c r="F32" s="7">
        <v>1024.4000000000001</v>
      </c>
      <c r="G32" s="7">
        <v>1024.4000000000001</v>
      </c>
      <c r="H32" s="7">
        <f>591.89+591.89</f>
        <v>1183.78</v>
      </c>
      <c r="I32" s="7">
        <f>591.89+591.89</f>
        <v>1183.78</v>
      </c>
      <c r="J32" s="7">
        <f>591.89+591.89</f>
        <v>1183.78</v>
      </c>
      <c r="K32" s="7">
        <f>591.89+591.89</f>
        <v>1183.78</v>
      </c>
      <c r="L32" s="7">
        <f t="shared" ref="L32:M32" si="19">591.89+591.89</f>
        <v>1183.78</v>
      </c>
      <c r="M32" s="7">
        <f t="shared" si="19"/>
        <v>1183.78</v>
      </c>
      <c r="N32" s="7">
        <f t="shared" si="15"/>
        <v>13249.080000000002</v>
      </c>
    </row>
    <row r="33" spans="1:14" ht="22.5" customHeight="1" thickBot="1" x14ac:dyDescent="0.3">
      <c r="A33" s="4" t="s">
        <v>6</v>
      </c>
      <c r="B33" s="20">
        <f t="shared" ref="B33:F33" si="20">6016.1*3.22</f>
        <v>19371.842000000001</v>
      </c>
      <c r="C33" s="20">
        <f t="shared" si="20"/>
        <v>19371.842000000001</v>
      </c>
      <c r="D33" s="20">
        <f t="shared" si="20"/>
        <v>19371.842000000001</v>
      </c>
      <c r="E33" s="20">
        <f t="shared" si="20"/>
        <v>19371.842000000001</v>
      </c>
      <c r="F33" s="20">
        <f t="shared" si="20"/>
        <v>19371.842000000001</v>
      </c>
      <c r="G33" s="20">
        <f t="shared" ref="G33:M33" si="21">6016.1*3.75</f>
        <v>22560.375</v>
      </c>
      <c r="H33" s="20">
        <f t="shared" si="21"/>
        <v>22560.375</v>
      </c>
      <c r="I33" s="20">
        <f t="shared" si="21"/>
        <v>22560.375</v>
      </c>
      <c r="J33" s="20">
        <f t="shared" si="21"/>
        <v>22560.375</v>
      </c>
      <c r="K33" s="20">
        <f t="shared" si="21"/>
        <v>22560.375</v>
      </c>
      <c r="L33" s="20">
        <f t="shared" si="21"/>
        <v>22560.375</v>
      </c>
      <c r="M33" s="20">
        <f t="shared" si="21"/>
        <v>22560.375</v>
      </c>
      <c r="N33" s="7">
        <f t="shared" si="15"/>
        <v>254781.83500000002</v>
      </c>
    </row>
    <row r="34" spans="1:14" ht="22.2" customHeight="1" thickBot="1" x14ac:dyDescent="0.3">
      <c r="A34" s="4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f>3900*3</f>
        <v>11700</v>
      </c>
      <c r="K34" s="7">
        <v>0</v>
      </c>
      <c r="L34" s="7">
        <v>0</v>
      </c>
      <c r="M34" s="7">
        <v>0</v>
      </c>
      <c r="N34" s="7">
        <f t="shared" si="15"/>
        <v>11700</v>
      </c>
    </row>
    <row r="35" spans="1:14" ht="24.75" customHeight="1" thickBot="1" x14ac:dyDescent="0.3">
      <c r="A35" s="4" t="s">
        <v>25</v>
      </c>
      <c r="B35" s="7">
        <f>7398.11*3</f>
        <v>22194.329999999998</v>
      </c>
      <c r="C35" s="7">
        <f>7398.11*3</f>
        <v>22194.329999999998</v>
      </c>
      <c r="D35" s="7">
        <f>7398.11*3</f>
        <v>22194.329999999998</v>
      </c>
      <c r="E35" s="7">
        <f t="shared" ref="E35:M35" si="22">7776.99*3</f>
        <v>23330.97</v>
      </c>
      <c r="F35" s="7">
        <f t="shared" si="22"/>
        <v>23330.97</v>
      </c>
      <c r="G35" s="7">
        <f t="shared" si="22"/>
        <v>23330.97</v>
      </c>
      <c r="H35" s="7">
        <f t="shared" si="22"/>
        <v>23330.97</v>
      </c>
      <c r="I35" s="7">
        <f t="shared" si="22"/>
        <v>23330.97</v>
      </c>
      <c r="J35" s="7">
        <f t="shared" si="22"/>
        <v>23330.97</v>
      </c>
      <c r="K35" s="7">
        <f t="shared" si="22"/>
        <v>23330.97</v>
      </c>
      <c r="L35" s="7">
        <f t="shared" si="22"/>
        <v>23330.97</v>
      </c>
      <c r="M35" s="7">
        <f t="shared" si="22"/>
        <v>23330.97</v>
      </c>
      <c r="N35" s="7">
        <f t="shared" si="15"/>
        <v>276561.71999999997</v>
      </c>
    </row>
    <row r="36" spans="1:14" ht="21.75" customHeight="1" thickBot="1" x14ac:dyDescent="0.3">
      <c r="A36" s="4" t="s">
        <v>43</v>
      </c>
      <c r="B36" s="7">
        <v>0</v>
      </c>
      <c r="C36" s="7">
        <v>5053.16</v>
      </c>
      <c r="D36" s="7">
        <v>4814.8999999999996</v>
      </c>
      <c r="E36" s="7">
        <v>5007.42</v>
      </c>
      <c r="F36" s="7">
        <v>5874.74</v>
      </c>
      <c r="G36" s="7">
        <v>4669.51</v>
      </c>
      <c r="H36" s="7">
        <v>5276.56</v>
      </c>
      <c r="I36" s="7">
        <v>9120.3799999999992</v>
      </c>
      <c r="J36" s="7">
        <v>8589.23</v>
      </c>
      <c r="K36" s="7">
        <v>7828.48</v>
      </c>
      <c r="L36" s="7">
        <v>8514.2900000000009</v>
      </c>
      <c r="M36" s="7">
        <v>8463.84</v>
      </c>
      <c r="N36" s="7">
        <f t="shared" ref="N36:N39" si="23">SUM(B36:M36)</f>
        <v>73212.510000000009</v>
      </c>
    </row>
    <row r="37" spans="1:14" ht="21.75" customHeight="1" thickBot="1" x14ac:dyDescent="0.3">
      <c r="A37" s="4" t="s">
        <v>44</v>
      </c>
      <c r="B37" s="7">
        <v>0</v>
      </c>
      <c r="C37" s="7">
        <f>2659.78+1153</f>
        <v>3812.78</v>
      </c>
      <c r="D37" s="7">
        <f>2534.1+1098</f>
        <v>3632.1</v>
      </c>
      <c r="E37" s="7">
        <f>1142+2635.46</f>
        <v>3777.46</v>
      </c>
      <c r="F37" s="7">
        <f>1339+3091.6</f>
        <v>4430.6000000000004</v>
      </c>
      <c r="G37" s="7">
        <f>1066+2458.08</f>
        <v>3524.08</v>
      </c>
      <c r="H37" s="7">
        <f>1203+2776.95</f>
        <v>3979.95</v>
      </c>
      <c r="I37" s="7">
        <f>2080+4800.16</f>
        <v>6880.16</v>
      </c>
      <c r="J37" s="7">
        <f>1959+4520.67</f>
        <v>6479.67</v>
      </c>
      <c r="K37" s="7">
        <f>1785+4120.06</f>
        <v>5905.06</v>
      </c>
      <c r="L37" s="7">
        <f>1942+4481.27</f>
        <v>6423.27</v>
      </c>
      <c r="M37" s="7">
        <f>1930+4454.51</f>
        <v>6384.51</v>
      </c>
      <c r="N37" s="7">
        <f t="shared" si="23"/>
        <v>55229.640000000007</v>
      </c>
    </row>
    <row r="38" spans="1:14" ht="21.6" customHeight="1" thickBot="1" x14ac:dyDescent="0.3">
      <c r="A38" s="4" t="s">
        <v>24</v>
      </c>
      <c r="B38" s="7">
        <v>675</v>
      </c>
      <c r="C38" s="7">
        <v>675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f t="shared" si="23"/>
        <v>1350</v>
      </c>
    </row>
    <row r="39" spans="1:14" ht="24" customHeight="1" thickBot="1" x14ac:dyDescent="0.3">
      <c r="A39" s="4" t="s">
        <v>10</v>
      </c>
      <c r="B39" s="7">
        <v>0</v>
      </c>
      <c r="C39" s="7">
        <f>807.48</f>
        <v>807.48</v>
      </c>
      <c r="D39" s="7">
        <f>20752.5+852.1</f>
        <v>21604.6</v>
      </c>
      <c r="E39" s="7">
        <v>0</v>
      </c>
      <c r="F39" s="7">
        <f>24344.1+7692.7</f>
        <v>32036.799999999999</v>
      </c>
      <c r="G39" s="7">
        <f>27640+9587</f>
        <v>37227</v>
      </c>
      <c r="H39" s="7">
        <f>5544.3+8662.6+6850.5</f>
        <v>21057.4</v>
      </c>
      <c r="I39" s="7">
        <v>0</v>
      </c>
      <c r="J39" s="7">
        <f>18700+250+1778+151715.9+2607.2</f>
        <v>175051.1</v>
      </c>
      <c r="K39" s="7">
        <f>2213.3+1688.3+3226.7+11250</f>
        <v>18378.3</v>
      </c>
      <c r="L39" s="7">
        <f>105+210+11218.2</f>
        <v>11533.2</v>
      </c>
      <c r="M39" s="7">
        <f>863.6+105</f>
        <v>968.6</v>
      </c>
      <c r="N39" s="7">
        <f t="shared" si="23"/>
        <v>318664.48</v>
      </c>
    </row>
    <row r="40" spans="1:14" ht="22.5" customHeight="1" thickBot="1" x14ac:dyDescent="0.3">
      <c r="A40" s="17" t="s">
        <v>22</v>
      </c>
      <c r="B40" s="6">
        <f t="shared" ref="B40:M40" si="24">SUM(B24:B39)</f>
        <v>128800.20287000001</v>
      </c>
      <c r="C40" s="6">
        <f t="shared" si="24"/>
        <v>140678.95323000001</v>
      </c>
      <c r="D40" s="6">
        <f t="shared" si="24"/>
        <v>148470.20045</v>
      </c>
      <c r="E40" s="6">
        <f t="shared" si="24"/>
        <v>154057.82367000001</v>
      </c>
      <c r="F40" s="6">
        <f t="shared" si="24"/>
        <v>160934.36133000001</v>
      </c>
      <c r="G40" s="6">
        <f t="shared" si="24"/>
        <v>166651.13273000001</v>
      </c>
      <c r="H40" s="6">
        <f t="shared" si="24"/>
        <v>153271.83620000002</v>
      </c>
      <c r="I40" s="6">
        <f t="shared" si="24"/>
        <v>140339.55784000002</v>
      </c>
      <c r="J40" s="6">
        <f t="shared" si="24"/>
        <v>326035.51795000001</v>
      </c>
      <c r="K40" s="6">
        <f t="shared" si="24"/>
        <v>153699.78696999999</v>
      </c>
      <c r="L40" s="6">
        <f t="shared" si="24"/>
        <v>149161.65789</v>
      </c>
      <c r="M40" s="6">
        <f t="shared" si="24"/>
        <v>144472.51039000001</v>
      </c>
      <c r="N40" s="6">
        <f>SUM(B40:M40)</f>
        <v>1966573.54152</v>
      </c>
    </row>
    <row r="41" spans="1:14" ht="23.25" customHeight="1" thickBot="1" x14ac:dyDescent="0.3">
      <c r="A41" s="4" t="s">
        <v>5</v>
      </c>
      <c r="B41" s="12">
        <f t="shared" ref="B41:N41" si="25">B15-B40</f>
        <v>30176.427129999996</v>
      </c>
      <c r="C41" s="12">
        <f t="shared" si="25"/>
        <v>28244.936769999971</v>
      </c>
      <c r="D41" s="12">
        <f t="shared" si="25"/>
        <v>13255.869549999974</v>
      </c>
      <c r="E41" s="12">
        <f t="shared" si="25"/>
        <v>30933.506330000004</v>
      </c>
      <c r="F41" s="12">
        <f t="shared" si="25"/>
        <v>-23839.761330000008</v>
      </c>
      <c r="G41" s="12">
        <f t="shared" si="25"/>
        <v>9385.9672700000228</v>
      </c>
      <c r="H41" s="12">
        <f t="shared" si="25"/>
        <v>50690.743799999938</v>
      </c>
      <c r="I41" s="12">
        <f t="shared" si="25"/>
        <v>39335.502159999945</v>
      </c>
      <c r="J41" s="12">
        <f t="shared" si="25"/>
        <v>-161957.47795</v>
      </c>
      <c r="K41" s="12">
        <f t="shared" si="25"/>
        <v>31725.773030000011</v>
      </c>
      <c r="L41" s="12">
        <f t="shared" si="25"/>
        <v>29809.372109999997</v>
      </c>
      <c r="M41" s="12">
        <f t="shared" si="25"/>
        <v>40354.839609999995</v>
      </c>
      <c r="N41" s="7">
        <f t="shared" si="25"/>
        <v>118115.69848000002</v>
      </c>
    </row>
    <row r="42" spans="1:14" ht="23.25" customHeight="1" thickBot="1" x14ac:dyDescent="0.3">
      <c r="A42" s="4" t="s">
        <v>7</v>
      </c>
      <c r="B42" s="9">
        <f t="shared" ref="B42:N42" si="26">B5+B41</f>
        <v>-486445.79287</v>
      </c>
      <c r="C42" s="9">
        <f t="shared" si="26"/>
        <v>-458200.85610000003</v>
      </c>
      <c r="D42" s="9">
        <f t="shared" si="26"/>
        <v>-444944.98655000003</v>
      </c>
      <c r="E42" s="9">
        <f t="shared" si="26"/>
        <v>-414011.48022000003</v>
      </c>
      <c r="F42" s="9">
        <f t="shared" si="26"/>
        <v>-437851.24155000004</v>
      </c>
      <c r="G42" s="9">
        <f t="shared" si="26"/>
        <v>-428465.27428000001</v>
      </c>
      <c r="H42" s="9">
        <f t="shared" si="26"/>
        <v>-377774.53048000007</v>
      </c>
      <c r="I42" s="9">
        <f t="shared" si="26"/>
        <v>-338439.02832000016</v>
      </c>
      <c r="J42" s="9">
        <f t="shared" si="26"/>
        <v>-500396.50627000013</v>
      </c>
      <c r="K42" s="9">
        <f t="shared" si="26"/>
        <v>-468670.73324000009</v>
      </c>
      <c r="L42" s="9">
        <f t="shared" si="26"/>
        <v>-438861.36113000009</v>
      </c>
      <c r="M42" s="9">
        <f t="shared" si="26"/>
        <v>-398506.52152000007</v>
      </c>
      <c r="N42" s="9">
        <f t="shared" si="26"/>
        <v>-398506.52151999995</v>
      </c>
    </row>
    <row r="43" spans="1:14" ht="23.25" customHeight="1" thickBot="1" x14ac:dyDescent="0.3">
      <c r="A43" s="4" t="s">
        <v>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19280.099999999999</v>
      </c>
      <c r="M43" s="7">
        <v>0</v>
      </c>
      <c r="N43" s="7">
        <f>SUM(B43:M43)</f>
        <v>19280.099999999999</v>
      </c>
    </row>
    <row r="44" spans="1:14" ht="27" customHeight="1" thickBot="1" x14ac:dyDescent="0.3">
      <c r="A44" s="19" t="s">
        <v>11</v>
      </c>
      <c r="B44" s="13">
        <f>B6+B15-B7</f>
        <v>-232696.77000000002</v>
      </c>
      <c r="C44" s="13">
        <f t="shared" ref="C44:K44" si="27">C6+C15-C7</f>
        <v>-228244.09000000005</v>
      </c>
      <c r="D44" s="13">
        <f t="shared" si="27"/>
        <v>-232795.57000000009</v>
      </c>
      <c r="E44" s="13">
        <f>E6+E15-E7</f>
        <v>-202442.33000000005</v>
      </c>
      <c r="F44" s="13">
        <f t="shared" si="27"/>
        <v>-245011.99000000002</v>
      </c>
      <c r="G44" s="13">
        <f t="shared" si="27"/>
        <v>-250226.44999999998</v>
      </c>
      <c r="H44" s="13">
        <f t="shared" si="27"/>
        <v>-225745.47000000006</v>
      </c>
      <c r="I44" s="13">
        <f t="shared" si="27"/>
        <v>-226615.99000000014</v>
      </c>
      <c r="J44" s="13">
        <f t="shared" si="27"/>
        <v>-245043.30000000013</v>
      </c>
      <c r="K44" s="13">
        <f t="shared" si="27"/>
        <v>-242370.78000000012</v>
      </c>
      <c r="L44" s="13">
        <f>L6-L7+L15+L43</f>
        <v>-223775.78000000014</v>
      </c>
      <c r="M44" s="13">
        <f t="shared" ref="M44:N44" si="28">M6-M7+M15+M43</f>
        <v>-219820.56000000014</v>
      </c>
      <c r="N44" s="13">
        <f t="shared" si="28"/>
        <v>-219820.56000000038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2025-03-12T08:21:40Z</cp:lastPrinted>
  <dcterms:created xsi:type="dcterms:W3CDTF">2011-06-06T03:25:48Z</dcterms:created>
  <dcterms:modified xsi:type="dcterms:W3CDTF">2025-03-12T08:27:25Z</dcterms:modified>
</cp:coreProperties>
</file>