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M38" i="1" l="1"/>
  <c r="L38" i="1" l="1"/>
  <c r="M35" i="1" l="1"/>
  <c r="L35" i="1"/>
  <c r="K35" i="1"/>
  <c r="K29" i="1" l="1"/>
  <c r="K38" i="1" l="1"/>
  <c r="M27" i="1" l="1"/>
  <c r="M16" i="1"/>
  <c r="M26" i="1"/>
  <c r="M8" i="1"/>
  <c r="J43" i="1"/>
  <c r="N42" i="1"/>
  <c r="L27" i="1" l="1"/>
  <c r="L16" i="1"/>
  <c r="L26" i="1"/>
  <c r="L8" i="1"/>
  <c r="K27" i="1" l="1"/>
  <c r="K16" i="1"/>
  <c r="K26" i="1"/>
  <c r="K8" i="1" l="1"/>
  <c r="K33" i="1" l="1"/>
  <c r="L33" i="1"/>
  <c r="M33" i="1"/>
  <c r="K28" i="1"/>
  <c r="L28" i="1"/>
  <c r="M28" i="1"/>
  <c r="K25" i="1"/>
  <c r="L25" i="1"/>
  <c r="M25" i="1"/>
  <c r="K24" i="1"/>
  <c r="L24" i="1"/>
  <c r="M24" i="1"/>
  <c r="I26" i="1" l="1"/>
  <c r="I8" i="1"/>
  <c r="J38" i="1" l="1"/>
  <c r="I38" i="1" l="1"/>
  <c r="H38" i="1" l="1"/>
  <c r="J35" i="1" l="1"/>
  <c r="I35" i="1"/>
  <c r="N35" i="1" s="1"/>
  <c r="J27" i="1" l="1"/>
  <c r="J16" i="1"/>
  <c r="J26" i="1"/>
  <c r="J8" i="1"/>
  <c r="I27" i="1" l="1"/>
  <c r="I16" i="1"/>
  <c r="H27" i="1" l="1"/>
  <c r="H16" i="1"/>
  <c r="H26" i="1"/>
  <c r="H8" i="1"/>
  <c r="H33" i="1" l="1"/>
  <c r="I33" i="1"/>
  <c r="J33" i="1"/>
  <c r="H28" i="1"/>
  <c r="I28" i="1"/>
  <c r="J28" i="1"/>
  <c r="H25" i="1"/>
  <c r="I25" i="1"/>
  <c r="J25" i="1"/>
  <c r="H24" i="1"/>
  <c r="I24" i="1"/>
  <c r="J24" i="1"/>
  <c r="G29" i="1" l="1"/>
  <c r="F38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D33" i="1" l="1"/>
  <c r="G33" i="1"/>
  <c r="E28" i="1"/>
  <c r="F28" i="1"/>
  <c r="G28" i="1"/>
  <c r="E25" i="1"/>
  <c r="F25" i="1"/>
  <c r="G25" i="1"/>
  <c r="E24" i="1"/>
  <c r="F24" i="1"/>
  <c r="G24" i="1"/>
  <c r="D38" i="1" l="1"/>
  <c r="D29" i="1" l="1"/>
  <c r="C29" i="1"/>
  <c r="B29" i="1"/>
  <c r="D27" i="1" l="1"/>
  <c r="D16" i="1"/>
  <c r="D26" i="1"/>
  <c r="D8" i="1"/>
  <c r="C27" i="1" l="1"/>
  <c r="C26" i="1"/>
  <c r="C16" i="1"/>
  <c r="C8" i="1"/>
  <c r="B27" i="1" l="1"/>
  <c r="B16" i="1"/>
  <c r="B26" i="1"/>
  <c r="B8" i="1"/>
  <c r="C33" i="1"/>
  <c r="C28" i="1"/>
  <c r="D28" i="1"/>
  <c r="C25" i="1"/>
  <c r="D25" i="1"/>
  <c r="C24" i="1"/>
  <c r="D24" i="1"/>
  <c r="B33" i="1" l="1"/>
  <c r="B28" i="1"/>
  <c r="B25" i="1"/>
  <c r="B24" i="1"/>
  <c r="N14" i="1" l="1"/>
  <c r="N6" i="1" l="1"/>
  <c r="N5" i="1"/>
  <c r="L7" i="1" l="1"/>
  <c r="N8" i="1"/>
  <c r="N24" i="1"/>
  <c r="N25" i="1"/>
  <c r="N28" i="1"/>
  <c r="N29" i="1"/>
  <c r="N30" i="1"/>
  <c r="N31" i="1"/>
  <c r="N32" i="1"/>
  <c r="N33" i="1"/>
  <c r="N34" i="1"/>
  <c r="N36" i="1"/>
  <c r="N37" i="1"/>
  <c r="N38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K7" i="1"/>
  <c r="M7" i="1"/>
  <c r="M39" i="1" l="1"/>
  <c r="M40" i="1" s="1"/>
  <c r="L39" i="1"/>
  <c r="L40" i="1" s="1"/>
  <c r="N27" i="1"/>
  <c r="K39" i="1"/>
  <c r="K40" i="1" l="1"/>
  <c r="H15" i="1" l="1"/>
  <c r="I15" i="1"/>
  <c r="J15" i="1"/>
  <c r="I7" i="1"/>
  <c r="J7" i="1"/>
  <c r="J39" i="1" l="1"/>
  <c r="J40" i="1" s="1"/>
  <c r="H7" i="1"/>
  <c r="H39" i="1"/>
  <c r="I39" i="1"/>
  <c r="I40" i="1" s="1"/>
  <c r="H40" i="1" l="1"/>
  <c r="E15" i="1" l="1"/>
  <c r="F15" i="1"/>
  <c r="G15" i="1"/>
  <c r="E7" i="1"/>
  <c r="F7" i="1"/>
  <c r="G7" i="1"/>
  <c r="D15" i="1"/>
  <c r="D39" i="1" s="1"/>
  <c r="D40" i="1" s="1"/>
  <c r="D7" i="1"/>
  <c r="C15" i="1"/>
  <c r="C7" i="1"/>
  <c r="B15" i="1"/>
  <c r="B7" i="1"/>
  <c r="G39" i="1" l="1"/>
  <c r="G40" i="1" s="1"/>
  <c r="N7" i="1"/>
  <c r="C39" i="1"/>
  <c r="C40" i="1" s="1"/>
  <c r="N15" i="1"/>
  <c r="F39" i="1"/>
  <c r="F40" i="1" s="1"/>
  <c r="N26" i="1"/>
  <c r="E39" i="1"/>
  <c r="E40" i="1" s="1"/>
  <c r="B43" i="1"/>
  <c r="C6" i="1" s="1"/>
  <c r="C43" i="1" s="1"/>
  <c r="D6" i="1" s="1"/>
  <c r="N43" i="1" l="1"/>
  <c r="D43" i="1"/>
  <c r="E6" i="1" s="1"/>
  <c r="E43" i="1" s="1"/>
  <c r="F6" i="1" s="1"/>
  <c r="F43" i="1" s="1"/>
  <c r="G6" i="1" s="1"/>
  <c r="G43" i="1" s="1"/>
  <c r="H6" i="1" s="1"/>
  <c r="H43" i="1" s="1"/>
  <c r="I6" i="1" s="1"/>
  <c r="B39" i="1"/>
  <c r="I43" i="1" l="1"/>
  <c r="J6" i="1" s="1"/>
  <c r="B40" i="1"/>
  <c r="B41" i="1" s="1"/>
  <c r="C5" i="1" s="1"/>
  <c r="C41" i="1" s="1"/>
  <c r="N39" i="1"/>
  <c r="K6" i="1" l="1"/>
  <c r="K43" i="1" s="1"/>
  <c r="D5" i="1"/>
  <c r="N40" i="1"/>
  <c r="N41" i="1" s="1"/>
  <c r="L6" i="1" l="1"/>
  <c r="L43" i="1" s="1"/>
  <c r="D41" i="1"/>
  <c r="E5" i="1" s="1"/>
  <c r="E41" i="1" s="1"/>
  <c r="F5" i="1" s="1"/>
  <c r="F41" i="1" s="1"/>
  <c r="M6" i="1" l="1"/>
  <c r="M43" i="1" s="1"/>
  <c r="G5" i="1"/>
  <c r="G41" i="1" s="1"/>
  <c r="H5" i="1" l="1"/>
  <c r="H41" i="1" s="1"/>
  <c r="I5" i="1" l="1"/>
  <c r="I41" i="1" s="1"/>
  <c r="J5" i="1" l="1"/>
  <c r="J41" i="1" s="1"/>
  <c r="K5" i="1" l="1"/>
  <c r="K41" i="1" s="1"/>
  <c r="L5" i="1" l="1"/>
  <c r="L41" i="1" s="1"/>
  <c r="M5" i="1" l="1"/>
  <c r="M41" i="1" s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<sst xmlns="http://schemas.openxmlformats.org/spreadsheetml/2006/main" count="54" uniqueCount="45">
  <si>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</si>
  <si>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</si>
  <si>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</si>
  <si>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</si>
  <si>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</si>
  <si>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</si>
  <si>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</si>
  <si>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</si>
  <si>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</si>
  <si>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</si>
  <si>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</si>
  <si>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</si>
  <si>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</si>
  <si>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</si>
  <si>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</si>
  <si>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</si>
  <si>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</si>
  <si>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</si>
  <si>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</si>
  <si>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</si>
  <si>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</si>
  <si>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</si>
  <si>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</si>
  <si>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</si>
  <si>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</si>
  <si>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общедомовых приборов учета</t>
  </si>
  <si>
    <t>Отведение сточных вод ОИ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</si>
  <si>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</si>
  <si>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</si>
  <si>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</si>
  <si>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</si>
  <si>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</si>
  <si>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</si>
  <si>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</si>
  <si>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</si>
  <si>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</si>
  <si>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</si>
  <si>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</si>
  <si>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</si>
  <si>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</si>
  <si>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</si>
  <si>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</si>
  <si>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</si>
  <si>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</si>
  <si>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t xml:space="preserve">                 ОТЧЕТ по дому Горно-Алтайская, 73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</si>
</sst>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left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A2" sqref="A1:H1048576"/>
    </sheetView>
  </sheetViews>
  <sheetFormatPr defaultRowHeight="13.2" x14ac:dyDescent="0.25"/>
  <cols>
    <col min="1" max="1" width="58.6640625" customWidth="1"/>
    <col min="2" max="2" width="14.109375" customWidth="1"/>
    <col min="3" max="3" width="14" customWidth="1"/>
    <col min="4" max="4" width="14.5546875" customWidth="1"/>
    <col min="5" max="5" width="14.109375" customWidth="1"/>
    <col min="6" max="7" width="14" customWidth="1"/>
    <col min="8" max="8" width="14.33203125" customWidth="1"/>
    <col min="9" max="9" width="13.5546875" customWidth="1"/>
    <col min="10" max="13" width="14.5546875" customWidth="1"/>
    <col min="14" max="14" width="16.44140625" customWidth="1"/>
  </cols>
  <sheetData>
    <row r="1" spans="1:18" ht="20.25" customHeight="1" x14ac:dyDescent="0.35">
      <c r="A1" s="23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16</v>
      </c>
      <c r="B5" s="16">
        <v>-413638.04</v>
      </c>
      <c r="C5" s="16">
        <f t="shared" ref="C5:D5" si="0">B41</f>
        <v>-403724.71151999995</v>
      </c>
      <c r="D5" s="16">
        <f t="shared" si="0"/>
        <v>-395247.50021999993</v>
      </c>
      <c r="E5" s="16">
        <f t="shared" ref="E5" si="1">D41</f>
        <v>-390216.52806999994</v>
      </c>
      <c r="F5" s="16">
        <f t="shared" ref="F5" si="2">E41</f>
        <v>-384951.88506999996</v>
      </c>
      <c r="G5" s="16">
        <f t="shared" ref="G5" si="3">F41</f>
        <v>-388448.08098999999</v>
      </c>
      <c r="H5" s="16">
        <f t="shared" ref="H5" si="4">G41</f>
        <v>-364473.75267000002</v>
      </c>
      <c r="I5" s="16">
        <f t="shared" ref="I5" si="5">H41</f>
        <v>-377616.98709000001</v>
      </c>
      <c r="J5" s="16">
        <f t="shared" ref="J5" si="6">I41</f>
        <v>-492551.77651</v>
      </c>
      <c r="K5" s="16">
        <f t="shared" ref="K5" si="7">J41</f>
        <v>-502157.74393</v>
      </c>
      <c r="L5" s="16">
        <f t="shared" ref="L5" si="8">K41</f>
        <v>-534114.83960000006</v>
      </c>
      <c r="M5" s="16">
        <f t="shared" ref="M5" si="9">L41</f>
        <v>-540955.44344000006</v>
      </c>
      <c r="N5" s="16">
        <f>B5</f>
        <v>-413638.04</v>
      </c>
    </row>
    <row r="6" spans="1:18" ht="21" customHeight="1" thickBot="1" x14ac:dyDescent="0.3">
      <c r="A6" s="7" t="s">
        <v>13</v>
      </c>
      <c r="B6" s="16">
        <v>-116101.87</v>
      </c>
      <c r="C6" s="16">
        <f t="shared" ref="C6:M6" si="10">B43</f>
        <v>-120478.63</v>
      </c>
      <c r="D6" s="16">
        <f t="shared" si="10"/>
        <v>-126220.98000000001</v>
      </c>
      <c r="E6" s="16">
        <f t="shared" si="10"/>
        <v>-127402.01000000001</v>
      </c>
      <c r="F6" s="16">
        <f t="shared" si="10"/>
        <v>-131114.07</v>
      </c>
      <c r="G6" s="16">
        <f t="shared" si="10"/>
        <v>-139299.90000000002</v>
      </c>
      <c r="H6" s="16">
        <f t="shared" si="10"/>
        <v>-125173.30000000003</v>
      </c>
      <c r="I6" s="16">
        <f t="shared" si="10"/>
        <v>-130984.76000000004</v>
      </c>
      <c r="J6" s="16">
        <f t="shared" si="10"/>
        <v>-124022.10000000003</v>
      </c>
      <c r="K6" s="16">
        <f t="shared" si="10"/>
        <v>-116409.35000000005</v>
      </c>
      <c r="L6" s="16">
        <f t="shared" si="10"/>
        <v>-118472.86000000006</v>
      </c>
      <c r="M6" s="16">
        <f t="shared" si="10"/>
        <v>-120689.57000000007</v>
      </c>
      <c r="N6" s="16">
        <f>B6</f>
        <v>-116101.87</v>
      </c>
    </row>
    <row r="7" spans="1:18" ht="20.25" customHeight="1" thickBot="1" x14ac:dyDescent="0.3">
      <c r="A7" s="8" t="s">
        <v>12</v>
      </c>
      <c r="B7" s="14">
        <f>SUM(B8:B14)</f>
        <v>60187.44</v>
      </c>
      <c r="C7" s="14">
        <f>SUM(C8:C14)</f>
        <v>58776.4</v>
      </c>
      <c r="D7" s="14">
        <f>SUM(D8:D14)</f>
        <v>57503.75</v>
      </c>
      <c r="E7" s="14">
        <f t="shared" ref="E7:M7" si="11">SUM(E8:E14)</f>
        <v>55209.599999999999</v>
      </c>
      <c r="F7" s="14">
        <f t="shared" si="11"/>
        <v>59307.94</v>
      </c>
      <c r="G7" s="14">
        <f t="shared" si="11"/>
        <v>70298.559999999998</v>
      </c>
      <c r="H7" s="14">
        <f t="shared" si="11"/>
        <v>69143.740000000005</v>
      </c>
      <c r="I7" s="14">
        <f t="shared" si="11"/>
        <v>75366.64</v>
      </c>
      <c r="J7" s="14">
        <f t="shared" si="11"/>
        <v>68067.640000000014</v>
      </c>
      <c r="K7" s="14">
        <f t="shared" si="11"/>
        <v>65365.490000000005</v>
      </c>
      <c r="L7" s="14">
        <f t="shared" si="11"/>
        <v>81892.179999999993</v>
      </c>
      <c r="M7" s="14">
        <f t="shared" si="11"/>
        <v>67901.48000000001</v>
      </c>
      <c r="N7" s="14">
        <f>SUM(B7:M7)</f>
        <v>789020.85999999987</v>
      </c>
    </row>
    <row r="8" spans="1:18" ht="19.5" customHeight="1" thickBot="1" x14ac:dyDescent="0.3">
      <c r="A8" s="4" t="s">
        <v>27</v>
      </c>
      <c r="B8" s="9">
        <f>48564.55+1470.89</f>
        <v>50035.44</v>
      </c>
      <c r="C8" s="9">
        <f>48564.55+1470.89</f>
        <v>50035.44</v>
      </c>
      <c r="D8" s="9">
        <f>48564.55+1470.89</f>
        <v>50035.44</v>
      </c>
      <c r="E8" s="9">
        <f>48564.55+1470.89</f>
        <v>50035.44</v>
      </c>
      <c r="F8" s="9">
        <f>48564.55+1470.89</f>
        <v>50035.44</v>
      </c>
      <c r="G8" s="9">
        <f t="shared" ref="G8:L8" si="12">56603.51+1470.89</f>
        <v>58074.400000000001</v>
      </c>
      <c r="H8" s="9">
        <f t="shared" si="12"/>
        <v>58074.400000000001</v>
      </c>
      <c r="I8" s="9">
        <f t="shared" si="12"/>
        <v>58074.400000000001</v>
      </c>
      <c r="J8" s="9">
        <f t="shared" si="12"/>
        <v>58074.400000000001</v>
      </c>
      <c r="K8" s="9">
        <f t="shared" si="12"/>
        <v>58074.400000000001</v>
      </c>
      <c r="L8" s="9">
        <f t="shared" si="12"/>
        <v>58074.400000000001</v>
      </c>
      <c r="M8" s="9">
        <f>56603.51+1470.89</f>
        <v>58074.400000000001</v>
      </c>
      <c r="N8" s="9">
        <f>SUM(B8:M8)</f>
        <v>656698.00000000012</v>
      </c>
    </row>
    <row r="9" spans="1:18" ht="24.75" customHeight="1" thickBot="1" x14ac:dyDescent="0.3">
      <c r="A9" s="4" t="s">
        <v>17</v>
      </c>
      <c r="B9" s="9">
        <v>3648.88</v>
      </c>
      <c r="C9" s="9">
        <v>1528.95</v>
      </c>
      <c r="D9" s="9">
        <v>1750.52</v>
      </c>
      <c r="E9" s="9">
        <v>3842.39</v>
      </c>
      <c r="F9" s="9">
        <v>0</v>
      </c>
      <c r="G9" s="9">
        <v>0</v>
      </c>
      <c r="H9" s="9">
        <v>2895.1</v>
      </c>
      <c r="I9" s="9">
        <v>0</v>
      </c>
      <c r="J9" s="9">
        <v>0</v>
      </c>
      <c r="K9" s="9">
        <v>0</v>
      </c>
      <c r="L9" s="9">
        <v>7459.88</v>
      </c>
      <c r="M9" s="9">
        <v>0</v>
      </c>
      <c r="N9" s="9">
        <f t="shared" ref="N9:N14" si="13">SUM(B9:M9)</f>
        <v>21125.72</v>
      </c>
    </row>
    <row r="10" spans="1:18" ht="21.75" customHeight="1" thickBot="1" x14ac:dyDescent="0.3">
      <c r="A10" s="4" t="s">
        <v>18</v>
      </c>
      <c r="B10" s="9">
        <v>225.87</v>
      </c>
      <c r="C10" s="9">
        <v>225.87</v>
      </c>
      <c r="D10" s="9">
        <v>225.93</v>
      </c>
      <c r="E10" s="9">
        <v>225.93</v>
      </c>
      <c r="F10" s="9">
        <v>225.93</v>
      </c>
      <c r="G10" s="9">
        <v>225.93</v>
      </c>
      <c r="H10" s="9">
        <v>249.54</v>
      </c>
      <c r="I10" s="9">
        <v>249.54</v>
      </c>
      <c r="J10" s="9">
        <v>249.54</v>
      </c>
      <c r="K10" s="9">
        <v>249.54</v>
      </c>
      <c r="L10" s="9">
        <v>249.54</v>
      </c>
      <c r="M10" s="9">
        <v>249.54</v>
      </c>
      <c r="N10" s="9">
        <f t="shared" si="13"/>
        <v>2852.7000000000003</v>
      </c>
    </row>
    <row r="11" spans="1:18" ht="22.5" customHeight="1" thickBot="1" x14ac:dyDescent="0.3">
      <c r="A11" s="4" t="s">
        <v>19</v>
      </c>
      <c r="B11" s="9">
        <v>5171.41</v>
      </c>
      <c r="C11" s="9">
        <v>5880.3</v>
      </c>
      <c r="D11" s="9">
        <v>4386.0200000000004</v>
      </c>
      <c r="E11" s="9">
        <v>0</v>
      </c>
      <c r="F11" s="9">
        <v>7940.73</v>
      </c>
      <c r="G11" s="9">
        <v>5630.39</v>
      </c>
      <c r="H11" s="9">
        <v>1489.19</v>
      </c>
      <c r="I11" s="9">
        <v>10519.49</v>
      </c>
      <c r="J11" s="9">
        <v>3308.19</v>
      </c>
      <c r="K11" s="9">
        <v>606.04</v>
      </c>
      <c r="L11" s="9">
        <v>9924.6</v>
      </c>
      <c r="M11" s="9">
        <v>5448.82</v>
      </c>
      <c r="N11" s="9">
        <f t="shared" si="13"/>
        <v>60305.18</v>
      </c>
    </row>
    <row r="12" spans="1:18" ht="22.5" customHeight="1" thickBot="1" x14ac:dyDescent="0.3">
      <c r="A12" s="4" t="s">
        <v>26</v>
      </c>
      <c r="B12" s="9">
        <v>435.84</v>
      </c>
      <c r="C12" s="9">
        <v>435.84</v>
      </c>
      <c r="D12" s="9">
        <v>435.84</v>
      </c>
      <c r="E12" s="9">
        <v>435.84</v>
      </c>
      <c r="F12" s="9">
        <v>435.84</v>
      </c>
      <c r="G12" s="9">
        <v>435.84</v>
      </c>
      <c r="H12" s="9">
        <v>503.51</v>
      </c>
      <c r="I12" s="9">
        <v>503.51</v>
      </c>
      <c r="J12" s="9">
        <v>503.51</v>
      </c>
      <c r="K12" s="9">
        <v>503.51</v>
      </c>
      <c r="L12" s="9">
        <v>251.76</v>
      </c>
      <c r="M12" s="9">
        <v>-1803.28</v>
      </c>
      <c r="N12" s="9">
        <f t="shared" si="13"/>
        <v>3077.5600000000013</v>
      </c>
    </row>
    <row r="13" spans="1:18" ht="22.5" customHeight="1" thickBot="1" x14ac:dyDescent="0.3">
      <c r="A13" s="4" t="s">
        <v>41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5262</v>
      </c>
      <c r="H13" s="9">
        <v>5262</v>
      </c>
      <c r="I13" s="9">
        <v>5349.7</v>
      </c>
      <c r="J13" s="9">
        <v>5262</v>
      </c>
      <c r="K13" s="9">
        <v>5262</v>
      </c>
      <c r="L13" s="9">
        <v>5262</v>
      </c>
      <c r="M13" s="9">
        <v>5262</v>
      </c>
      <c r="N13" s="9">
        <f t="shared" si="13"/>
        <v>36921.699999999997</v>
      </c>
    </row>
    <row r="14" spans="1:18" ht="24" customHeight="1" thickBot="1" x14ac:dyDescent="0.3">
      <c r="A14" s="4" t="s">
        <v>15</v>
      </c>
      <c r="B14" s="9">
        <v>670</v>
      </c>
      <c r="C14" s="9">
        <v>670</v>
      </c>
      <c r="D14" s="9">
        <v>670</v>
      </c>
      <c r="E14" s="9">
        <v>670</v>
      </c>
      <c r="F14" s="9">
        <v>670</v>
      </c>
      <c r="G14" s="9">
        <v>670</v>
      </c>
      <c r="H14" s="9">
        <v>670</v>
      </c>
      <c r="I14" s="9">
        <v>670</v>
      </c>
      <c r="J14" s="9">
        <v>670</v>
      </c>
      <c r="K14" s="9">
        <v>670</v>
      </c>
      <c r="L14" s="9">
        <v>670</v>
      </c>
      <c r="M14" s="9">
        <v>670</v>
      </c>
      <c r="N14" s="9">
        <f t="shared" si="13"/>
        <v>8040</v>
      </c>
    </row>
    <row r="15" spans="1:18" ht="20.25" customHeight="1" thickBot="1" x14ac:dyDescent="0.3">
      <c r="A15" s="10" t="s">
        <v>8</v>
      </c>
      <c r="B15" s="17">
        <f>SUM(B16:B22)</f>
        <v>55810.68</v>
      </c>
      <c r="C15" s="17">
        <f>SUM(C16:C22)</f>
        <v>53034.049999999996</v>
      </c>
      <c r="D15" s="17">
        <f>SUM(D16:D22)</f>
        <v>56322.720000000001</v>
      </c>
      <c r="E15" s="17">
        <f t="shared" ref="E15:M15" si="14">SUM(E16:E22)</f>
        <v>51497.54</v>
      </c>
      <c r="F15" s="17">
        <f t="shared" si="14"/>
        <v>51122.109999999993</v>
      </c>
      <c r="G15" s="17">
        <f t="shared" si="14"/>
        <v>84425.159999999989</v>
      </c>
      <c r="H15" s="17">
        <f t="shared" si="14"/>
        <v>63332.28</v>
      </c>
      <c r="I15" s="17">
        <f t="shared" si="14"/>
        <v>63972.89</v>
      </c>
      <c r="J15" s="17">
        <f t="shared" si="14"/>
        <v>75680.39</v>
      </c>
      <c r="K15" s="17">
        <f t="shared" si="14"/>
        <v>63301.979999999996</v>
      </c>
      <c r="L15" s="17">
        <f t="shared" si="14"/>
        <v>59125.79</v>
      </c>
      <c r="M15" s="17">
        <f t="shared" si="14"/>
        <v>70028.740000000005</v>
      </c>
      <c r="N15" s="17">
        <f>SUM(B15:M15)</f>
        <v>747654.33000000007</v>
      </c>
    </row>
    <row r="16" spans="1:18" ht="24" customHeight="1" thickBot="1" x14ac:dyDescent="0.3">
      <c r="A16" s="4" t="s">
        <v>27</v>
      </c>
      <c r="B16" s="9">
        <f>43454.65+1316.61</f>
        <v>44771.26</v>
      </c>
      <c r="C16" s="9">
        <f>42936.13+1300.54</f>
        <v>44236.67</v>
      </c>
      <c r="D16" s="9">
        <f>46699.9+1399.43</f>
        <v>48099.33</v>
      </c>
      <c r="E16" s="9">
        <f>43669.71+1316.31</f>
        <v>44986.02</v>
      </c>
      <c r="F16" s="9">
        <f>45157.73-171.66+1391.35</f>
        <v>46377.42</v>
      </c>
      <c r="G16" s="9">
        <f>66684.54+2822.68</f>
        <v>69507.219999999987</v>
      </c>
      <c r="H16" s="9">
        <f>50852.1+1459.2</f>
        <v>52311.299999999996</v>
      </c>
      <c r="I16" s="9">
        <f>51680.81+1366.21</f>
        <v>53047.02</v>
      </c>
      <c r="J16" s="9">
        <f>57721.3+1437.82</f>
        <v>59159.12</v>
      </c>
      <c r="K16" s="9">
        <f>52341.13+1374.52</f>
        <v>53715.649999999994</v>
      </c>
      <c r="L16" s="9">
        <f>51215.07+1354.47</f>
        <v>52569.54</v>
      </c>
      <c r="M16" s="9">
        <f>52444.78+1422.33</f>
        <v>53867.11</v>
      </c>
      <c r="N16" s="9">
        <f>SUM(B16:M16)</f>
        <v>622647.66</v>
      </c>
    </row>
    <row r="17" spans="1:15" ht="26.25" customHeight="1" thickBot="1" x14ac:dyDescent="0.3">
      <c r="A17" s="4" t="s">
        <v>17</v>
      </c>
      <c r="B17" s="9">
        <v>687.82</v>
      </c>
      <c r="C17" s="9">
        <v>3228.57</v>
      </c>
      <c r="D17" s="9">
        <v>1564.43</v>
      </c>
      <c r="E17" s="9">
        <v>1572.22</v>
      </c>
      <c r="F17" s="9">
        <v>3409.56</v>
      </c>
      <c r="G17" s="9">
        <v>980.56</v>
      </c>
      <c r="H17" s="9">
        <v>63.22</v>
      </c>
      <c r="I17" s="9">
        <v>2518.19</v>
      </c>
      <c r="J17" s="9">
        <v>183.12</v>
      </c>
      <c r="K17" s="9">
        <v>42.11</v>
      </c>
      <c r="L17" s="9">
        <v>11.35</v>
      </c>
      <c r="M17" s="9">
        <v>0</v>
      </c>
      <c r="N17" s="9">
        <f t="shared" ref="N17:N22" si="15">SUM(B17:M17)</f>
        <v>14261.150000000001</v>
      </c>
    </row>
    <row r="18" spans="1:15" ht="26.25" customHeight="1" thickBot="1" x14ac:dyDescent="0.3">
      <c r="A18" s="4" t="s">
        <v>18</v>
      </c>
      <c r="B18" s="9">
        <v>202.17</v>
      </c>
      <c r="C18" s="9">
        <v>200.24</v>
      </c>
      <c r="D18" s="9">
        <v>217.19</v>
      </c>
      <c r="E18" s="9">
        <v>203.11</v>
      </c>
      <c r="F18" s="9">
        <v>209.31</v>
      </c>
      <c r="G18" s="9">
        <v>305.91000000000003</v>
      </c>
      <c r="H18" s="9">
        <v>203.33</v>
      </c>
      <c r="I18" s="9">
        <v>227.33</v>
      </c>
      <c r="J18" s="9">
        <v>254.42</v>
      </c>
      <c r="K18" s="9">
        <v>223.87</v>
      </c>
      <c r="L18" s="9">
        <v>225.83</v>
      </c>
      <c r="M18" s="9">
        <v>241.3</v>
      </c>
      <c r="N18" s="9">
        <f t="shared" si="15"/>
        <v>2714.01</v>
      </c>
    </row>
    <row r="19" spans="1:15" ht="24" customHeight="1" thickBot="1" x14ac:dyDescent="0.3">
      <c r="A19" s="4" t="s">
        <v>19</v>
      </c>
      <c r="B19" s="9">
        <v>3419.3</v>
      </c>
      <c r="C19" s="9">
        <v>4582.1499999999996</v>
      </c>
      <c r="D19" s="9">
        <v>5622.66</v>
      </c>
      <c r="E19" s="9">
        <v>3944.28</v>
      </c>
      <c r="F19" s="9">
        <v>322.08999999999997</v>
      </c>
      <c r="G19" s="9">
        <v>8485.41</v>
      </c>
      <c r="H19" s="9">
        <v>5025.1400000000003</v>
      </c>
      <c r="I19" s="9">
        <v>1534.78</v>
      </c>
      <c r="J19" s="9">
        <v>9909.17</v>
      </c>
      <c r="K19" s="9">
        <v>3046.18</v>
      </c>
      <c r="L19" s="9">
        <v>640.04</v>
      </c>
      <c r="M19" s="9">
        <v>9142.52</v>
      </c>
      <c r="N19" s="9">
        <f t="shared" si="15"/>
        <v>55673.72</v>
      </c>
    </row>
    <row r="20" spans="1:15" ht="24" customHeight="1" thickBot="1" x14ac:dyDescent="0.3">
      <c r="A20" s="4" t="s">
        <v>26</v>
      </c>
      <c r="B20" s="9">
        <v>390.13</v>
      </c>
      <c r="C20" s="9">
        <v>386.42</v>
      </c>
      <c r="D20" s="9">
        <v>419.11</v>
      </c>
      <c r="E20" s="9">
        <v>391.91</v>
      </c>
      <c r="F20" s="9">
        <v>403.73</v>
      </c>
      <c r="G20" s="9">
        <v>580.72</v>
      </c>
      <c r="H20" s="9">
        <v>392.28</v>
      </c>
      <c r="I20" s="9">
        <v>458.27</v>
      </c>
      <c r="J20" s="9">
        <v>512.26</v>
      </c>
      <c r="K20" s="9">
        <v>451.71</v>
      </c>
      <c r="L20" s="9">
        <v>455.53</v>
      </c>
      <c r="M20" s="9">
        <v>248.34</v>
      </c>
      <c r="N20" s="9">
        <f t="shared" si="15"/>
        <v>5090.41</v>
      </c>
    </row>
    <row r="21" spans="1:15" ht="24" customHeight="1" thickBot="1" x14ac:dyDescent="0.3">
      <c r="A21" s="4" t="s">
        <v>41</v>
      </c>
      <c r="B21" s="9">
        <v>4340</v>
      </c>
      <c r="C21" s="9">
        <v>0</v>
      </c>
      <c r="D21" s="9">
        <v>0</v>
      </c>
      <c r="E21" s="9">
        <v>0</v>
      </c>
      <c r="F21" s="9">
        <v>0</v>
      </c>
      <c r="G21" s="9">
        <v>4165.34</v>
      </c>
      <c r="H21" s="9">
        <v>4537.01</v>
      </c>
      <c r="I21" s="9">
        <v>4737.3</v>
      </c>
      <c r="J21" s="9">
        <v>5262.3</v>
      </c>
      <c r="K21" s="9">
        <v>4822.46</v>
      </c>
      <c r="L21" s="9">
        <v>4823.5</v>
      </c>
      <c r="M21" s="9">
        <v>4929.47</v>
      </c>
      <c r="N21" s="9">
        <f t="shared" si="15"/>
        <v>37617.379999999997</v>
      </c>
    </row>
    <row r="22" spans="1:15" ht="21" customHeight="1" thickBot="1" x14ac:dyDescent="0.3">
      <c r="A22" s="4" t="s">
        <v>15</v>
      </c>
      <c r="B22" s="15">
        <v>2000</v>
      </c>
      <c r="C22" s="15">
        <v>400</v>
      </c>
      <c r="D22" s="15">
        <v>400</v>
      </c>
      <c r="E22" s="15">
        <v>400</v>
      </c>
      <c r="F22" s="15">
        <v>400</v>
      </c>
      <c r="G22" s="15">
        <v>400</v>
      </c>
      <c r="H22" s="15">
        <v>800</v>
      </c>
      <c r="I22" s="15">
        <v>1450</v>
      </c>
      <c r="J22" s="15">
        <v>400</v>
      </c>
      <c r="K22" s="9">
        <v>1000</v>
      </c>
      <c r="L22" s="9">
        <v>400</v>
      </c>
      <c r="M22" s="9">
        <v>1600</v>
      </c>
      <c r="N22" s="9">
        <f t="shared" si="15"/>
        <v>9650</v>
      </c>
      <c r="O22" s="3"/>
    </row>
    <row r="23" spans="1:15" ht="21.75" customHeight="1" thickBot="1" x14ac:dyDescent="0.35">
      <c r="A23" s="11" t="s">
        <v>24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5" ht="19.5" customHeight="1" thickBot="1" x14ac:dyDescent="0.3">
      <c r="A24" s="4" t="s">
        <v>1</v>
      </c>
      <c r="B24" s="9">
        <f t="shared" ref="B24:M24" si="16">2536*0.6</f>
        <v>1521.6</v>
      </c>
      <c r="C24" s="9">
        <f t="shared" si="16"/>
        <v>1521.6</v>
      </c>
      <c r="D24" s="9">
        <f t="shared" si="16"/>
        <v>1521.6</v>
      </c>
      <c r="E24" s="9">
        <f t="shared" si="16"/>
        <v>1521.6</v>
      </c>
      <c r="F24" s="9">
        <f t="shared" si="16"/>
        <v>1521.6</v>
      </c>
      <c r="G24" s="9">
        <f t="shared" si="16"/>
        <v>1521.6</v>
      </c>
      <c r="H24" s="9">
        <f t="shared" si="16"/>
        <v>1521.6</v>
      </c>
      <c r="I24" s="9">
        <f t="shared" si="16"/>
        <v>1521.6</v>
      </c>
      <c r="J24" s="9">
        <f t="shared" si="16"/>
        <v>1521.6</v>
      </c>
      <c r="K24" s="9">
        <f t="shared" si="16"/>
        <v>1521.6</v>
      </c>
      <c r="L24" s="9">
        <f t="shared" si="16"/>
        <v>1521.6</v>
      </c>
      <c r="M24" s="9">
        <f t="shared" si="16"/>
        <v>1521.6</v>
      </c>
      <c r="N24" s="9">
        <f t="shared" ref="N24:N38" si="17">SUM(B24:M24)</f>
        <v>18259.2</v>
      </c>
    </row>
    <row r="25" spans="1:15" ht="22.5" customHeight="1" thickBot="1" x14ac:dyDescent="0.3">
      <c r="A25" s="4" t="s">
        <v>2</v>
      </c>
      <c r="B25" s="9">
        <f t="shared" ref="B25:M25" si="18">2536*0.17</f>
        <v>431.12</v>
      </c>
      <c r="C25" s="9">
        <f t="shared" si="18"/>
        <v>431.12</v>
      </c>
      <c r="D25" s="9">
        <f t="shared" si="18"/>
        <v>431.12</v>
      </c>
      <c r="E25" s="9">
        <f t="shared" si="18"/>
        <v>431.12</v>
      </c>
      <c r="F25" s="9">
        <f t="shared" si="18"/>
        <v>431.12</v>
      </c>
      <c r="G25" s="9">
        <f t="shared" si="18"/>
        <v>431.12</v>
      </c>
      <c r="H25" s="9">
        <f t="shared" si="18"/>
        <v>431.12</v>
      </c>
      <c r="I25" s="9">
        <f t="shared" si="18"/>
        <v>431.12</v>
      </c>
      <c r="J25" s="9">
        <f t="shared" si="18"/>
        <v>431.12</v>
      </c>
      <c r="K25" s="9">
        <f t="shared" si="18"/>
        <v>431.12</v>
      </c>
      <c r="L25" s="9">
        <f t="shared" si="18"/>
        <v>431.12</v>
      </c>
      <c r="M25" s="9">
        <f t="shared" si="18"/>
        <v>431.12</v>
      </c>
      <c r="N25" s="9">
        <f t="shared" si="17"/>
        <v>5173.4399999999996</v>
      </c>
    </row>
    <row r="26" spans="1:15" ht="21" customHeight="1" thickBot="1" x14ac:dyDescent="0.3">
      <c r="A26" s="4" t="s">
        <v>3</v>
      </c>
      <c r="B26" s="9">
        <f>59517.44*2.3%</f>
        <v>1368.90112</v>
      </c>
      <c r="C26" s="9">
        <f>58106.4*2.3%</f>
        <v>1336.4472000000001</v>
      </c>
      <c r="D26" s="9">
        <f>56833.75*2.3%</f>
        <v>1307.17625</v>
      </c>
      <c r="E26" s="9">
        <f>54539.6*2.3%</f>
        <v>1254.4107999999999</v>
      </c>
      <c r="F26" s="9">
        <f>58637.94*2.3%</f>
        <v>1348.6726200000001</v>
      </c>
      <c r="G26" s="9">
        <f>69628.56*2.3%</f>
        <v>1601.45688</v>
      </c>
      <c r="H26" s="9">
        <f>68473.74*2.3%</f>
        <v>1574.8960200000001</v>
      </c>
      <c r="I26" s="9">
        <f>74696.64*2.3%</f>
        <v>1718.0227199999999</v>
      </c>
      <c r="J26" s="9">
        <f>67397.64*2.3%</f>
        <v>1550.14572</v>
      </c>
      <c r="K26" s="9">
        <f>64695.49*2.3%</f>
        <v>1487.9962699999999</v>
      </c>
      <c r="L26" s="9">
        <f>81222.18*2.3%</f>
        <v>1868.1101399999998</v>
      </c>
      <c r="M26" s="9">
        <f>67231.48*2.3%</f>
        <v>1546.32404</v>
      </c>
      <c r="N26" s="9">
        <f t="shared" si="17"/>
        <v>17962.55978</v>
      </c>
    </row>
    <row r="27" spans="1:15" ht="23.25" customHeight="1" thickBot="1" x14ac:dyDescent="0.3">
      <c r="A27" s="4" t="s">
        <v>4</v>
      </c>
      <c r="B27" s="9">
        <f>53810.68*3%</f>
        <v>1614.3203999999998</v>
      </c>
      <c r="C27" s="9">
        <f>52634.05*3%</f>
        <v>1579.0215000000001</v>
      </c>
      <c r="D27" s="9">
        <f>55922.72*3%</f>
        <v>1677.6815999999999</v>
      </c>
      <c r="E27" s="9">
        <f>51097.54*3%</f>
        <v>1532.9261999999999</v>
      </c>
      <c r="F27" s="9">
        <f>50722.11*3%</f>
        <v>1521.6632999999999</v>
      </c>
      <c r="G27" s="9">
        <f>84025.16*3%</f>
        <v>2520.7548000000002</v>
      </c>
      <c r="H27" s="9">
        <f>62532.28*3%</f>
        <v>1875.9684</v>
      </c>
      <c r="I27" s="9">
        <f>62522.89*3%</f>
        <v>1875.6867</v>
      </c>
      <c r="J27" s="9">
        <f>75280.39*3%</f>
        <v>2258.4117000000001</v>
      </c>
      <c r="K27" s="9">
        <f>62301.98*3%</f>
        <v>1869.0594000000001</v>
      </c>
      <c r="L27" s="9">
        <f>58725.79*3%</f>
        <v>1761.7737</v>
      </c>
      <c r="M27" s="9">
        <f>68428.74*3%</f>
        <v>2052.8622</v>
      </c>
      <c r="N27" s="9">
        <f t="shared" si="17"/>
        <v>22140.1299</v>
      </c>
    </row>
    <row r="28" spans="1:15" ht="23.25" customHeight="1" thickBot="1" x14ac:dyDescent="0.3">
      <c r="A28" s="4" t="s">
        <v>9</v>
      </c>
      <c r="B28" s="20">
        <f t="shared" ref="B28:M28" si="19">2536*9.7</f>
        <v>24599.199999999997</v>
      </c>
      <c r="C28" s="20">
        <f t="shared" si="19"/>
        <v>24599.199999999997</v>
      </c>
      <c r="D28" s="20">
        <f t="shared" si="19"/>
        <v>24599.199999999997</v>
      </c>
      <c r="E28" s="20">
        <f t="shared" si="19"/>
        <v>24599.199999999997</v>
      </c>
      <c r="F28" s="20">
        <f t="shared" si="19"/>
        <v>24599.199999999997</v>
      </c>
      <c r="G28" s="20">
        <f t="shared" si="19"/>
        <v>24599.199999999997</v>
      </c>
      <c r="H28" s="20">
        <f t="shared" si="19"/>
        <v>24599.199999999997</v>
      </c>
      <c r="I28" s="20">
        <f t="shared" si="19"/>
        <v>24599.199999999997</v>
      </c>
      <c r="J28" s="20">
        <f t="shared" si="19"/>
        <v>24599.199999999997</v>
      </c>
      <c r="K28" s="20">
        <f t="shared" si="19"/>
        <v>24599.199999999997</v>
      </c>
      <c r="L28" s="20">
        <f t="shared" si="19"/>
        <v>24599.199999999997</v>
      </c>
      <c r="M28" s="20">
        <f t="shared" si="19"/>
        <v>24599.199999999997</v>
      </c>
      <c r="N28" s="9">
        <f t="shared" si="17"/>
        <v>295190.40000000002</v>
      </c>
    </row>
    <row r="29" spans="1:15" ht="26.25" customHeight="1" thickBot="1" x14ac:dyDescent="0.3">
      <c r="A29" s="4" t="s">
        <v>20</v>
      </c>
      <c r="B29" s="9">
        <f>1528.95+0.02</f>
        <v>1528.97</v>
      </c>
      <c r="C29" s="9">
        <f>1623.97+126.54</f>
        <v>1750.51</v>
      </c>
      <c r="D29" s="9">
        <f>3408.89+433.53</f>
        <v>3842.42</v>
      </c>
      <c r="E29" s="9">
        <v>0</v>
      </c>
      <c r="F29" s="9">
        <v>0</v>
      </c>
      <c r="G29" s="9">
        <f>2568.38+326.72</f>
        <v>2895.1000000000004</v>
      </c>
      <c r="H29" s="9">
        <v>0</v>
      </c>
      <c r="I29" s="9">
        <v>0</v>
      </c>
      <c r="J29" s="9">
        <v>0</v>
      </c>
      <c r="K29" s="9">
        <f>6674.72+785.16</f>
        <v>7459.88</v>
      </c>
      <c r="L29" s="9">
        <v>0</v>
      </c>
      <c r="M29" s="9">
        <v>0</v>
      </c>
      <c r="N29" s="9">
        <f t="shared" si="17"/>
        <v>17476.88</v>
      </c>
    </row>
    <row r="30" spans="1:15" ht="26.25" customHeight="1" thickBot="1" x14ac:dyDescent="0.3">
      <c r="A30" s="4" t="s">
        <v>21</v>
      </c>
      <c r="B30" s="9">
        <v>338.8</v>
      </c>
      <c r="C30" s="9">
        <v>338.8</v>
      </c>
      <c r="D30" s="9">
        <v>338.8</v>
      </c>
      <c r="E30" s="9">
        <v>338.8</v>
      </c>
      <c r="F30" s="9">
        <v>338.8</v>
      </c>
      <c r="G30" s="9">
        <v>338.8</v>
      </c>
      <c r="H30" s="9">
        <v>374.22</v>
      </c>
      <c r="I30" s="9">
        <v>374.22</v>
      </c>
      <c r="J30" s="9">
        <v>374.22</v>
      </c>
      <c r="K30" s="9">
        <v>374.22</v>
      </c>
      <c r="L30" s="9">
        <v>374.22</v>
      </c>
      <c r="M30" s="9">
        <v>374.22</v>
      </c>
      <c r="N30" s="9">
        <f t="shared" si="17"/>
        <v>4278.1200000000008</v>
      </c>
    </row>
    <row r="31" spans="1:15" ht="26.25" customHeight="1" thickBot="1" x14ac:dyDescent="0.3">
      <c r="A31" s="4" t="s">
        <v>22</v>
      </c>
      <c r="B31" s="9">
        <v>5880.29</v>
      </c>
      <c r="C31" s="9">
        <v>4385.99</v>
      </c>
      <c r="D31" s="9">
        <v>0</v>
      </c>
      <c r="E31" s="9">
        <v>7940.69</v>
      </c>
      <c r="F31" s="9">
        <v>5630.4</v>
      </c>
      <c r="G31" s="9">
        <v>1489.2</v>
      </c>
      <c r="H31" s="9">
        <v>10519.5</v>
      </c>
      <c r="I31" s="9">
        <v>3308.19</v>
      </c>
      <c r="J31" s="9">
        <v>606.04999999999995</v>
      </c>
      <c r="K31" s="9">
        <v>9924.59</v>
      </c>
      <c r="L31" s="9">
        <v>5448.8</v>
      </c>
      <c r="M31" s="9">
        <v>6310.58</v>
      </c>
      <c r="N31" s="9">
        <f t="shared" si="17"/>
        <v>61444.28</v>
      </c>
    </row>
    <row r="32" spans="1:15" ht="26.25" customHeight="1" thickBot="1" x14ac:dyDescent="0.3">
      <c r="A32" s="4" t="s">
        <v>26</v>
      </c>
      <c r="B32" s="9">
        <v>435.83</v>
      </c>
      <c r="C32" s="9">
        <v>435.83</v>
      </c>
      <c r="D32" s="9">
        <v>435.83</v>
      </c>
      <c r="E32" s="9">
        <v>435.83</v>
      </c>
      <c r="F32" s="9">
        <v>435.83</v>
      </c>
      <c r="G32" s="9">
        <v>435.83</v>
      </c>
      <c r="H32" s="9">
        <v>251.71</v>
      </c>
      <c r="I32" s="9">
        <v>251.71</v>
      </c>
      <c r="J32" s="9">
        <v>251.71</v>
      </c>
      <c r="K32" s="9">
        <v>251.71</v>
      </c>
      <c r="L32" s="9">
        <v>251.71</v>
      </c>
      <c r="M32" s="9">
        <v>251.71</v>
      </c>
      <c r="N32" s="9">
        <f t="shared" si="17"/>
        <v>4125.24</v>
      </c>
    </row>
    <row r="33" spans="1:14" ht="22.5" customHeight="1" thickBot="1" x14ac:dyDescent="0.3">
      <c r="A33" s="4" t="s">
        <v>6</v>
      </c>
      <c r="B33" s="9">
        <f t="shared" ref="B33:F33" si="20">2536*2.87</f>
        <v>7278.3200000000006</v>
      </c>
      <c r="C33" s="9">
        <f t="shared" si="20"/>
        <v>7278.3200000000006</v>
      </c>
      <c r="D33" s="9">
        <f t="shared" si="20"/>
        <v>7278.3200000000006</v>
      </c>
      <c r="E33" s="9">
        <f t="shared" si="20"/>
        <v>7278.3200000000006</v>
      </c>
      <c r="F33" s="9">
        <f t="shared" si="20"/>
        <v>7278.3200000000006</v>
      </c>
      <c r="G33" s="9">
        <f t="shared" ref="G33:M33" si="21">2536*3.35</f>
        <v>8495.6</v>
      </c>
      <c r="H33" s="9">
        <f t="shared" si="21"/>
        <v>8495.6</v>
      </c>
      <c r="I33" s="9">
        <f t="shared" si="21"/>
        <v>8495.6</v>
      </c>
      <c r="J33" s="9">
        <f t="shared" si="21"/>
        <v>8495.6</v>
      </c>
      <c r="K33" s="9">
        <f t="shared" si="21"/>
        <v>8495.6</v>
      </c>
      <c r="L33" s="9">
        <f t="shared" si="21"/>
        <v>8495.6</v>
      </c>
      <c r="M33" s="9">
        <f t="shared" si="21"/>
        <v>8495.6</v>
      </c>
      <c r="N33" s="9">
        <f t="shared" si="17"/>
        <v>95860.800000000017</v>
      </c>
    </row>
    <row r="34" spans="1:14" ht="21.75" customHeight="1" thickBot="1" x14ac:dyDescent="0.3">
      <c r="A34" s="21" t="s">
        <v>41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4960.6400000000003</v>
      </c>
      <c r="J34" s="9">
        <v>2700.11</v>
      </c>
      <c r="K34" s="9">
        <v>2999.61</v>
      </c>
      <c r="L34" s="9">
        <v>2748.72</v>
      </c>
      <c r="M34" s="9">
        <v>2749.45</v>
      </c>
      <c r="N34" s="9">
        <f t="shared" si="17"/>
        <v>16158.529999999999</v>
      </c>
    </row>
    <row r="35" spans="1:14" ht="21.75" customHeight="1" thickBot="1" x14ac:dyDescent="0.3">
      <c r="A35" s="21" t="s">
        <v>42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f>1131+2610.71</f>
        <v>3741.71</v>
      </c>
      <c r="J35" s="9">
        <f>616+1421.19</f>
        <v>2037.19</v>
      </c>
      <c r="K35" s="9">
        <f>684+1578.69</f>
        <v>2262.69</v>
      </c>
      <c r="L35" s="9">
        <f>627+1446.74</f>
        <v>2073.7399999999998</v>
      </c>
      <c r="M35" s="9">
        <f>627+1447.05</f>
        <v>2074.0500000000002</v>
      </c>
      <c r="N35" s="9">
        <f t="shared" si="17"/>
        <v>12189.380000000001</v>
      </c>
    </row>
    <row r="36" spans="1:14" ht="23.4" customHeight="1" thickBot="1" x14ac:dyDescent="0.3">
      <c r="A36" s="4" t="s">
        <v>25</v>
      </c>
      <c r="B36" s="9">
        <v>900</v>
      </c>
      <c r="C36" s="9">
        <v>900</v>
      </c>
      <c r="D36" s="9">
        <v>900</v>
      </c>
      <c r="E36" s="9">
        <v>900</v>
      </c>
      <c r="F36" s="9">
        <v>900</v>
      </c>
      <c r="G36" s="9">
        <v>900</v>
      </c>
      <c r="H36" s="9">
        <v>900</v>
      </c>
      <c r="I36" s="9">
        <v>900</v>
      </c>
      <c r="J36" s="9">
        <v>900</v>
      </c>
      <c r="K36" s="9">
        <v>900</v>
      </c>
      <c r="L36" s="9">
        <v>900</v>
      </c>
      <c r="M36" s="9">
        <v>900</v>
      </c>
      <c r="N36" s="9">
        <f t="shared" si="17"/>
        <v>10800</v>
      </c>
    </row>
    <row r="37" spans="1:14" ht="24.75" customHeight="1" thickBot="1" x14ac:dyDescent="0.3">
      <c r="A37" s="4" t="s">
        <v>14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15222.17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f t="shared" si="17"/>
        <v>15222.17</v>
      </c>
    </row>
    <row r="38" spans="1:14" ht="24" customHeight="1" thickBot="1" x14ac:dyDescent="0.3">
      <c r="A38" s="4" t="s">
        <v>10</v>
      </c>
      <c r="B38" s="9">
        <v>0</v>
      </c>
      <c r="C38" s="9">
        <v>0</v>
      </c>
      <c r="D38" s="9">
        <f>6729.8+2229.8</f>
        <v>8959.6</v>
      </c>
      <c r="E38" s="9">
        <v>0</v>
      </c>
      <c r="F38" s="9">
        <f>6848.5+3764.2</f>
        <v>10612.7</v>
      </c>
      <c r="G38" s="9">
        <v>0</v>
      </c>
      <c r="H38" s="9">
        <f>4309.8+3364.7+1387.5+15369.7+1000+500</f>
        <v>25931.7</v>
      </c>
      <c r="I38" s="9">
        <f>10248.5+10756+2419.8+10108.4+93197.28</f>
        <v>126729.98</v>
      </c>
      <c r="J38" s="9">
        <f>704.3+688.9+38167.8</f>
        <v>39561</v>
      </c>
      <c r="K38" s="9">
        <f>7198+6304.6+5771.6+5983.3+4498.5+2925.8</f>
        <v>32681.8</v>
      </c>
      <c r="L38" s="9">
        <f>8011.8+7480</f>
        <v>15491.8</v>
      </c>
      <c r="M38" s="9">
        <f>16812+11990.6</f>
        <v>28802.6</v>
      </c>
      <c r="N38" s="9">
        <f t="shared" si="17"/>
        <v>288771.17999999993</v>
      </c>
    </row>
    <row r="39" spans="1:14" ht="22.5" customHeight="1" thickBot="1" x14ac:dyDescent="0.3">
      <c r="A39" s="8" t="s">
        <v>23</v>
      </c>
      <c r="B39" s="14">
        <f t="shared" ref="B39:M39" si="22">SUM(B24:B38)</f>
        <v>45897.351519999997</v>
      </c>
      <c r="C39" s="14">
        <f t="shared" si="22"/>
        <v>44556.838699999993</v>
      </c>
      <c r="D39" s="14">
        <f t="shared" si="22"/>
        <v>51291.74785</v>
      </c>
      <c r="E39" s="14">
        <f t="shared" si="22"/>
        <v>46232.896999999997</v>
      </c>
      <c r="F39" s="14">
        <f t="shared" si="22"/>
        <v>54618.305919999999</v>
      </c>
      <c r="G39" s="14">
        <f t="shared" si="22"/>
        <v>60450.831679999996</v>
      </c>
      <c r="H39" s="14">
        <f t="shared" si="22"/>
        <v>76475.514419999992</v>
      </c>
      <c r="I39" s="14">
        <f t="shared" si="22"/>
        <v>178907.67942</v>
      </c>
      <c r="J39" s="14">
        <f t="shared" si="22"/>
        <v>85286.35742</v>
      </c>
      <c r="K39" s="14">
        <f t="shared" si="22"/>
        <v>95259.075670000006</v>
      </c>
      <c r="L39" s="14">
        <f t="shared" si="22"/>
        <v>65966.39383999999</v>
      </c>
      <c r="M39" s="14">
        <f t="shared" si="22"/>
        <v>80109.316239999986</v>
      </c>
      <c r="N39" s="14">
        <f>SUM(B39:M39)</f>
        <v>885052.30967999995</v>
      </c>
    </row>
    <row r="40" spans="1:14" ht="19.5" customHeight="1" thickBot="1" x14ac:dyDescent="0.3">
      <c r="A40" s="4" t="s">
        <v>5</v>
      </c>
      <c r="B40" s="18">
        <f t="shared" ref="B40:N40" si="23">B15-B39</f>
        <v>9913.3284800000038</v>
      </c>
      <c r="C40" s="18">
        <f t="shared" si="23"/>
        <v>8477.2113000000027</v>
      </c>
      <c r="D40" s="18">
        <f t="shared" si="23"/>
        <v>5030.9721500000014</v>
      </c>
      <c r="E40" s="18">
        <f t="shared" si="23"/>
        <v>5264.6430000000037</v>
      </c>
      <c r="F40" s="18">
        <f t="shared" si="23"/>
        <v>-3496.1959200000056</v>
      </c>
      <c r="G40" s="18">
        <f t="shared" si="23"/>
        <v>23974.328319999993</v>
      </c>
      <c r="H40" s="18">
        <f t="shared" si="23"/>
        <v>-13143.234419999993</v>
      </c>
      <c r="I40" s="18">
        <f t="shared" si="23"/>
        <v>-114934.78942</v>
      </c>
      <c r="J40" s="18">
        <f t="shared" si="23"/>
        <v>-9605.9674200000009</v>
      </c>
      <c r="K40" s="18">
        <f t="shared" si="23"/>
        <v>-31957.09567000001</v>
      </c>
      <c r="L40" s="18">
        <f t="shared" si="23"/>
        <v>-6840.6038399999888</v>
      </c>
      <c r="M40" s="18">
        <f t="shared" si="23"/>
        <v>-10080.57623999998</v>
      </c>
      <c r="N40" s="9">
        <f t="shared" si="23"/>
        <v>-137397.97967999987</v>
      </c>
    </row>
    <row r="41" spans="1:14" ht="19.5" customHeight="1" thickBot="1" x14ac:dyDescent="0.3">
      <c r="A41" s="4" t="s">
        <v>7</v>
      </c>
      <c r="B41" s="15">
        <f t="shared" ref="B41:N41" si="24">B5+B40</f>
        <v>-403724.71151999995</v>
      </c>
      <c r="C41" s="15">
        <f t="shared" si="24"/>
        <v>-395247.50021999993</v>
      </c>
      <c r="D41" s="15">
        <f t="shared" si="24"/>
        <v>-390216.52806999994</v>
      </c>
      <c r="E41" s="15">
        <f t="shared" si="24"/>
        <v>-384951.88506999996</v>
      </c>
      <c r="F41" s="15">
        <f t="shared" si="24"/>
        <v>-388448.08098999999</v>
      </c>
      <c r="G41" s="15">
        <f t="shared" si="24"/>
        <v>-364473.75267000002</v>
      </c>
      <c r="H41" s="15">
        <f t="shared" si="24"/>
        <v>-377616.98709000001</v>
      </c>
      <c r="I41" s="15">
        <f t="shared" si="24"/>
        <v>-492551.77651</v>
      </c>
      <c r="J41" s="15">
        <f t="shared" si="24"/>
        <v>-502157.74393</v>
      </c>
      <c r="K41" s="15">
        <f t="shared" si="24"/>
        <v>-534114.83960000006</v>
      </c>
      <c r="L41" s="15">
        <f t="shared" si="24"/>
        <v>-540955.44344000006</v>
      </c>
      <c r="M41" s="15">
        <f t="shared" si="24"/>
        <v>-551036.01968000003</v>
      </c>
      <c r="N41" s="15">
        <f t="shared" si="24"/>
        <v>-551036.01967999991</v>
      </c>
    </row>
    <row r="42" spans="1:14" ht="19.5" customHeight="1" thickBot="1" x14ac:dyDescent="0.3">
      <c r="A42" s="4" t="s">
        <v>43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18356.41</v>
      </c>
      <c r="J42" s="9">
        <v>0</v>
      </c>
      <c r="K42" s="9">
        <v>0</v>
      </c>
      <c r="L42" s="9">
        <v>20549.68</v>
      </c>
      <c r="M42" s="9">
        <v>0</v>
      </c>
      <c r="N42" s="22">
        <f>SUM(B42:M42)</f>
        <v>38906.089999999997</v>
      </c>
    </row>
    <row r="43" spans="1:14" ht="21" customHeight="1" thickBot="1" x14ac:dyDescent="0.3">
      <c r="A43" s="11" t="s">
        <v>11</v>
      </c>
      <c r="B43" s="19">
        <f>B6+B15-B7</f>
        <v>-120478.63</v>
      </c>
      <c r="C43" s="19">
        <f>C6+C15-C7</f>
        <v>-126220.98000000001</v>
      </c>
      <c r="D43" s="19">
        <f>D6+D15-D7</f>
        <v>-127402.01000000001</v>
      </c>
      <c r="E43" s="19">
        <f t="shared" ref="E43:H43" si="25">E6+E15-E7</f>
        <v>-131114.07</v>
      </c>
      <c r="F43" s="19">
        <f t="shared" si="25"/>
        <v>-139299.90000000002</v>
      </c>
      <c r="G43" s="19">
        <f t="shared" si="25"/>
        <v>-125173.30000000003</v>
      </c>
      <c r="H43" s="19">
        <f t="shared" si="25"/>
        <v>-130984.76000000004</v>
      </c>
      <c r="I43" s="19">
        <f>I6+I15-I7+I42</f>
        <v>-124022.10000000003</v>
      </c>
      <c r="J43" s="19">
        <f t="shared" ref="J43:M43" si="26">J6+J15-J7+J42</f>
        <v>-116409.35000000005</v>
      </c>
      <c r="K43" s="19">
        <f t="shared" si="26"/>
        <v>-118472.86000000006</v>
      </c>
      <c r="L43" s="19">
        <f t="shared" si="26"/>
        <v>-120689.57000000007</v>
      </c>
      <c r="M43" s="19">
        <f t="shared" si="26"/>
        <v>-118562.31000000007</v>
      </c>
      <c r="N43" s="19">
        <f t="shared" ref="N43" si="27">N6+N15-N7+N42</f>
        <v>-118562.30999999979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2025-03-04T03:15:55Z</cp:lastPrinted>
  <dcterms:created xsi:type="dcterms:W3CDTF">2011-06-06T03:25:48Z</dcterms:created>
  <dcterms:modified xsi:type="dcterms:W3CDTF">2025-03-04T03:23:57Z</dcterms:modified>
</cp:coreProperties>
</file>