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34" i="1"/>
  <c r="N22" i="1"/>
  <c r="M39" i="1" l="1"/>
  <c r="N39" i="1"/>
  <c r="L39" i="1"/>
  <c r="K34" i="1" l="1"/>
  <c r="M27" i="1" l="1"/>
  <c r="K27" i="1"/>
  <c r="M25" i="1" l="1"/>
  <c r="M15" i="1"/>
  <c r="M24" i="1"/>
  <c r="M8" i="1"/>
  <c r="L25" i="1" l="1"/>
  <c r="L15" i="1"/>
  <c r="L24" i="1" l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J34" i="1" l="1"/>
  <c r="J30" i="1" l="1"/>
  <c r="J27" i="1" l="1"/>
  <c r="J25" i="1" l="1"/>
  <c r="J15" i="1"/>
  <c r="J24" i="1"/>
  <c r="J8" i="1"/>
  <c r="H34" i="1" l="1"/>
  <c r="I25" i="1" l="1"/>
  <c r="I15" i="1"/>
  <c r="I24" i="1"/>
  <c r="I8" i="1"/>
  <c r="H25" i="1" l="1"/>
  <c r="H15" i="1"/>
  <c r="H24" i="1"/>
  <c r="H8" i="1"/>
  <c r="H31" i="1"/>
  <c r="I31" i="1"/>
  <c r="J31" i="1"/>
  <c r="H26" i="1" l="1"/>
  <c r="I26" i="1"/>
  <c r="J26" i="1"/>
  <c r="H23" i="1"/>
  <c r="I23" i="1"/>
  <c r="J23" i="1"/>
  <c r="H22" i="1"/>
  <c r="I22" i="1"/>
  <c r="J22" i="1"/>
  <c r="F27" i="1" l="1"/>
  <c r="E34" i="1" l="1"/>
  <c r="F34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G26" i="1"/>
  <c r="E23" i="1"/>
  <c r="F23" i="1"/>
  <c r="G23" i="1"/>
  <c r="E22" i="1"/>
  <c r="F22" i="1"/>
  <c r="G22" i="1"/>
  <c r="B34" i="1" l="1"/>
  <c r="D27" i="1" l="1"/>
  <c r="C27" i="1"/>
  <c r="B27" i="1"/>
  <c r="D25" i="1" l="1"/>
  <c r="D15" i="1"/>
  <c r="D24" i="1"/>
  <c r="D8" i="1"/>
  <c r="C25" i="1" l="1"/>
  <c r="C15" i="1"/>
  <c r="C24" i="1"/>
  <c r="C8" i="1"/>
  <c r="B25" i="1" l="1"/>
  <c r="B15" i="1"/>
  <c r="B24" i="1"/>
  <c r="B8" i="1"/>
  <c r="C31" i="1"/>
  <c r="D31" i="1"/>
  <c r="C26" i="1"/>
  <c r="D26" i="1"/>
  <c r="C23" i="1"/>
  <c r="D23" i="1"/>
  <c r="C22" i="1"/>
  <c r="D22" i="1"/>
  <c r="B31" i="1" l="1"/>
  <c r="B26" i="1"/>
  <c r="B23" i="1"/>
  <c r="B22" i="1"/>
  <c r="N20" i="1" l="1"/>
  <c r="N13" i="1"/>
  <c r="D14" i="1" l="1"/>
  <c r="D7" i="1"/>
  <c r="C14" i="1" l="1"/>
  <c r="C7" i="1"/>
  <c r="B14" i="1"/>
  <c r="B7" i="1"/>
  <c r="D35" i="1" l="1"/>
  <c r="D36" i="1" s="1"/>
  <c r="N11" i="1" l="1"/>
  <c r="N16" i="1" l="1"/>
  <c r="N18" i="1"/>
  <c r="N17" i="1"/>
  <c r="N19" i="1"/>
  <c r="N9" i="1" l="1"/>
  <c r="N10" i="1"/>
  <c r="N12" i="1" l="1"/>
  <c r="H14" i="1" l="1"/>
  <c r="I14" i="1"/>
  <c r="J14" i="1"/>
  <c r="K14" i="1"/>
  <c r="L14" i="1"/>
  <c r="M14" i="1"/>
  <c r="H7" i="1"/>
  <c r="I7" i="1"/>
  <c r="J7" i="1"/>
  <c r="K7" i="1"/>
  <c r="L7" i="1"/>
  <c r="M7" i="1"/>
  <c r="E14" i="1"/>
  <c r="F14" i="1"/>
  <c r="G14" i="1"/>
  <c r="E7" i="1"/>
  <c r="F7" i="1"/>
  <c r="G7" i="1"/>
  <c r="N14" i="1" l="1"/>
  <c r="N7" i="1"/>
  <c r="M35" i="1"/>
  <c r="M36" i="1" s="1"/>
  <c r="J35" i="1"/>
  <c r="I35" i="1"/>
  <c r="I36" i="1" s="1"/>
  <c r="G35" i="1"/>
  <c r="G36" i="1" s="1"/>
  <c r="F35" i="1"/>
  <c r="F36" i="1" s="1"/>
  <c r="E35" i="1"/>
  <c r="E36" i="1" s="1"/>
  <c r="L35" i="1"/>
  <c r="K35" i="1"/>
  <c r="H35" i="1"/>
  <c r="H36" i="1" s="1"/>
  <c r="L36" i="1" l="1"/>
  <c r="K36" i="1"/>
  <c r="J36" i="1"/>
  <c r="N15" i="1"/>
  <c r="N8" i="1" l="1"/>
  <c r="N6" i="1"/>
  <c r="N5" i="1"/>
  <c r="C35" i="1" l="1"/>
  <c r="C36" i="1" s="1"/>
  <c r="B39" i="1"/>
  <c r="C6" i="1" s="1"/>
  <c r="C39" i="1" l="1"/>
  <c r="D6" i="1" s="1"/>
  <c r="B35" i="1"/>
  <c r="N35" i="1" s="1"/>
  <c r="D39" i="1" l="1"/>
  <c r="E6" i="1" s="1"/>
  <c r="E39" i="1" s="1"/>
  <c r="F6" i="1" s="1"/>
  <c r="F39" i="1" s="1"/>
  <c r="G6" i="1" s="1"/>
  <c r="G39" i="1" s="1"/>
  <c r="H6" i="1" s="1"/>
  <c r="H39" i="1" s="1"/>
  <c r="I6" i="1" s="1"/>
  <c r="I39" i="1" s="1"/>
  <c r="J6" i="1" s="1"/>
  <c r="J39" i="1" s="1"/>
  <c r="K6" i="1" s="1"/>
  <c r="K39" i="1" s="1"/>
  <c r="L6" i="1" s="1"/>
  <c r="M6" i="1" s="1"/>
  <c r="B36" i="1"/>
  <c r="B37" i="1" s="1"/>
  <c r="C5" i="1" l="1"/>
  <c r="C37" i="1" s="1"/>
  <c r="D5" i="1" s="1"/>
  <c r="D37" i="1" s="1"/>
  <c r="N36" i="1" l="1"/>
  <c r="N37" i="1" s="1"/>
  <c r="E5" i="1" l="1"/>
  <c r="E37" i="1" s="1"/>
  <c r="F5" i="1" s="1"/>
  <c r="F37" i="1" l="1"/>
  <c r="G5" i="1" s="1"/>
  <c r="G37" i="1" s="1"/>
  <c r="H5" i="1" s="1"/>
  <c r="H37" i="1" s="1"/>
  <c r="I5" i="1" s="1"/>
  <c r="I37" i="1" s="1"/>
  <c r="J5" i="1" s="1"/>
  <c r="J37" i="1" l="1"/>
  <c r="K5" i="1" s="1"/>
  <c r="K37" i="1" l="1"/>
  <c r="L5" i="1" s="1"/>
  <c r="L37" i="1" l="1"/>
  <c r="M5" i="1" s="1"/>
  <c r="M37" i="1" s="1"/>
</calcChain>
</file>

<file path=xl/sharedStrings.xml><?xml version="1.0" encoding="utf-8"?>
<sst xmlns="http://schemas.openxmlformats.org/spreadsheetml/2006/main" count="50" uniqueCount="43">
  <si>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</si>
  <si>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</si>
  <si>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</si>
  <si>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</si>
  <si>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</si>
  <si>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</si>
  <si>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</si>
  <si>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</si>
  <si>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</si>
  <si>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</si>
  <si>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</si>
  <si>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</si>
  <si>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</si>
  <si>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</si>
  <si>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</si>
  <si>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</si>
  <si>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</si>
  <si>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</si>
  <si>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</si>
  <si>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</si>
  <si>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</si>
  <si>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</si>
  <si>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</si>
  <si>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</si>
  <si>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газового оборудования</t>
  </si>
  <si>
    <t>Тех.обслуживание узла учета тепловой энергии</t>
  </si>
  <si>
    <t>Дополнительный доход (использование общего имущества)</t>
  </si>
  <si>
    <t>Содержание жилья и текущий ремонт, ОПУ</t>
  </si>
  <si>
    <t>Январь 2024г.</t>
  </si>
  <si>
    <t>Февраль  2024г.</t>
  </si>
  <si>
    <t>Март 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</si>
  <si>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</si>
  <si>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</si>
  <si>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</si>
  <si>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</si>
  <si>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</si>
  <si>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</si>
  <si>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</si>
  <si>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 xml:space="preserve">Ноябрь 2024г </t>
  </si>
  <si>
    <t>Декабрь 2024г</t>
  </si>
  <si>
    <t>Всего:                       за  2024г.</t>
  </si>
  <si>
    <t xml:space="preserve">                 ОТЧЕТ по дому Горно-Алтайская, 58 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</si>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</sst>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C23" zoomScale="75" workbookViewId="0">
      <selection activeCell="O33" sqref="O33"/>
    </sheetView>
  </sheetViews>
  <sheetFormatPr defaultRowHeight="13.2" x14ac:dyDescent="0.25"/>
  <cols>
    <col min="1" max="1" width="56.109375" customWidth="1"/>
    <col min="2" max="2" width="14.21875" customWidth="1"/>
    <col min="3" max="3" width="14.109375" customWidth="1"/>
    <col min="4" max="4" width="13.88671875" customWidth="1"/>
    <col min="5" max="5" width="14.44140625" customWidth="1"/>
    <col min="6" max="6" width="14.77734375" customWidth="1"/>
    <col min="7" max="7" width="13.6640625" customWidth="1"/>
    <col min="8" max="8" width="15.88671875" customWidth="1"/>
    <col min="9" max="9" width="15.21875" customWidth="1"/>
    <col min="10" max="10" width="15.109375" customWidth="1"/>
    <col min="11" max="11" width="14.77734375" customWidth="1"/>
    <col min="12" max="13" width="14.44140625" customWidth="1"/>
    <col min="14" max="14" width="13.6640625" customWidth="1"/>
  </cols>
  <sheetData>
    <row r="1" spans="1:18" ht="20.25" customHeight="1" x14ac:dyDescent="0.3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14</v>
      </c>
      <c r="B5" s="8">
        <v>-307511.94</v>
      </c>
      <c r="C5" s="8">
        <f>B37</f>
        <v>-289994.36196000001</v>
      </c>
      <c r="D5" s="8">
        <f>C37</f>
        <v>-279981.76994000003</v>
      </c>
      <c r="E5" s="8">
        <f t="shared" ref="E5:G5" si="0">D37</f>
        <v>-255447.76920000004</v>
      </c>
      <c r="F5" s="8">
        <f t="shared" si="0"/>
        <v>-337843.72116000002</v>
      </c>
      <c r="G5" s="8">
        <f t="shared" si="0"/>
        <v>-335272.09987999999</v>
      </c>
      <c r="H5" s="8">
        <f t="shared" ref="H5" si="1">G37</f>
        <v>-338830.14837000001</v>
      </c>
      <c r="I5" s="8">
        <f t="shared" ref="I5" si="2">H37</f>
        <v>-353994.85175999999</v>
      </c>
      <c r="J5" s="8">
        <f t="shared" ref="J5" si="3">I37</f>
        <v>-345235.79955</v>
      </c>
      <c r="K5" s="8">
        <f t="shared" ref="K5" si="4">J37</f>
        <v>-380518.81383999996</v>
      </c>
      <c r="L5" s="8">
        <f t="shared" ref="L5" si="5">K37</f>
        <v>-479842.43874999997</v>
      </c>
      <c r="M5" s="8">
        <f t="shared" ref="M5" si="6">L37</f>
        <v>-476647.94129999995</v>
      </c>
      <c r="N5" s="8">
        <f>B5</f>
        <v>-307511.94</v>
      </c>
    </row>
    <row r="6" spans="1:18" ht="21" customHeight="1" thickBot="1" x14ac:dyDescent="0.3">
      <c r="A6" s="7" t="s">
        <v>13</v>
      </c>
      <c r="B6" s="8">
        <v>-103707.55</v>
      </c>
      <c r="C6" s="8">
        <f>B39</f>
        <v>-91719.37000000001</v>
      </c>
      <c r="D6" s="8">
        <f>C39</f>
        <v>-90789.560000000012</v>
      </c>
      <c r="E6" s="8">
        <f t="shared" ref="E6:G6" si="7">D39</f>
        <v>-73501.150000000009</v>
      </c>
      <c r="F6" s="8">
        <f t="shared" si="7"/>
        <v>-80116.13</v>
      </c>
      <c r="G6" s="8">
        <f t="shared" si="7"/>
        <v>-82993.94</v>
      </c>
      <c r="H6" s="8">
        <f t="shared" ref="H6:M6" si="8">G39</f>
        <v>-85971.88</v>
      </c>
      <c r="I6" s="8">
        <f t="shared" si="8"/>
        <v>-93738.89</v>
      </c>
      <c r="J6" s="8">
        <f t="shared" si="8"/>
        <v>-92948.42</v>
      </c>
      <c r="K6" s="8">
        <f t="shared" si="8"/>
        <v>-100515.4</v>
      </c>
      <c r="L6" s="8">
        <f t="shared" si="8"/>
        <v>-89462.799999999988</v>
      </c>
      <c r="M6" s="8">
        <f t="shared" si="8"/>
        <v>-89494.889999999985</v>
      </c>
      <c r="N6" s="8">
        <f>B6</f>
        <v>-103707.55</v>
      </c>
    </row>
    <row r="7" spans="1:18" ht="20.25" customHeight="1" thickBot="1" x14ac:dyDescent="0.3">
      <c r="A7" s="9" t="s">
        <v>12</v>
      </c>
      <c r="B7" s="10">
        <f>SUM(B8:B13)</f>
        <v>28547.52</v>
      </c>
      <c r="C7" s="10">
        <f t="shared" ref="C7:D7" si="9">SUM(C8:C13)</f>
        <v>29182.559999999998</v>
      </c>
      <c r="D7" s="10">
        <f t="shared" si="9"/>
        <v>28114.319999999996</v>
      </c>
      <c r="E7" s="10">
        <f t="shared" ref="E7:G7" si="10">SUM(E8:E12)</f>
        <v>28249.119999999995</v>
      </c>
      <c r="F7" s="10">
        <f t="shared" si="10"/>
        <v>27749.339999999997</v>
      </c>
      <c r="G7" s="10">
        <f t="shared" si="10"/>
        <v>27800.729999999996</v>
      </c>
      <c r="H7" s="10">
        <f t="shared" ref="H7" si="11">SUM(H8:H12)</f>
        <v>27779.729999999996</v>
      </c>
      <c r="I7" s="10">
        <f t="shared" ref="I7" si="12">SUM(I8:I12)</f>
        <v>27779.729999999996</v>
      </c>
      <c r="J7" s="10">
        <f t="shared" ref="J7" si="13">SUM(J8:J12)</f>
        <v>27779.729999999996</v>
      </c>
      <c r="K7" s="10">
        <f t="shared" ref="K7" si="14">SUM(K8:K12)</f>
        <v>27818.469999999998</v>
      </c>
      <c r="L7" s="10">
        <f t="shared" ref="L7" si="15">SUM(L8:L12)</f>
        <v>27720.449999999997</v>
      </c>
      <c r="M7" s="10">
        <f t="shared" ref="M7" si="16">SUM(M8:M12)</f>
        <v>27093.85</v>
      </c>
      <c r="N7" s="10">
        <f>SUM(B7:M7)</f>
        <v>335615.54999999987</v>
      </c>
    </row>
    <row r="8" spans="1:18" ht="24.75" customHeight="1" thickBot="1" x14ac:dyDescent="0.3">
      <c r="A8" s="3" t="s">
        <v>27</v>
      </c>
      <c r="B8" s="11">
        <f t="shared" ref="B8:G8" si="17">26581.92+947.61</f>
        <v>27529.53</v>
      </c>
      <c r="C8" s="11">
        <f t="shared" si="17"/>
        <v>27529.53</v>
      </c>
      <c r="D8" s="11">
        <f t="shared" si="17"/>
        <v>27529.53</v>
      </c>
      <c r="E8" s="11">
        <f t="shared" si="17"/>
        <v>27529.53</v>
      </c>
      <c r="F8" s="11">
        <f t="shared" si="17"/>
        <v>27529.53</v>
      </c>
      <c r="G8" s="11">
        <f t="shared" si="17"/>
        <v>27529.53</v>
      </c>
      <c r="H8" s="11">
        <f t="shared" ref="H8:M8" si="18">26581.92+947.61</f>
        <v>27529.53</v>
      </c>
      <c r="I8" s="11">
        <f t="shared" si="18"/>
        <v>27529.53</v>
      </c>
      <c r="J8" s="11">
        <f t="shared" si="18"/>
        <v>27529.53</v>
      </c>
      <c r="K8" s="11">
        <f t="shared" si="18"/>
        <v>27529.53</v>
      </c>
      <c r="L8" s="11">
        <f t="shared" si="18"/>
        <v>27529.53</v>
      </c>
      <c r="M8" s="11">
        <f t="shared" si="18"/>
        <v>27529.53</v>
      </c>
      <c r="N8" s="11">
        <f>SUM(B8:M8)</f>
        <v>330354.36</v>
      </c>
    </row>
    <row r="9" spans="1:18" ht="24.75" customHeight="1" thickBot="1" x14ac:dyDescent="0.3">
      <c r="A9" s="3" t="s">
        <v>15</v>
      </c>
      <c r="B9" s="11">
        <v>598.15</v>
      </c>
      <c r="C9" s="11">
        <v>1233.19</v>
      </c>
      <c r="D9" s="11">
        <v>164.98</v>
      </c>
      <c r="E9" s="11">
        <v>499.78</v>
      </c>
      <c r="F9" s="11">
        <v>0</v>
      </c>
      <c r="G9" s="11">
        <v>51.39</v>
      </c>
      <c r="H9" s="11">
        <v>0</v>
      </c>
      <c r="I9" s="11">
        <v>0</v>
      </c>
      <c r="J9" s="11">
        <v>0</v>
      </c>
      <c r="K9" s="11">
        <v>38.74</v>
      </c>
      <c r="L9" s="11">
        <v>24.53</v>
      </c>
      <c r="M9" s="11">
        <v>0</v>
      </c>
      <c r="N9" s="11">
        <f t="shared" ref="N9:N13" si="19">SUM(B9:M9)</f>
        <v>2610.7600000000002</v>
      </c>
    </row>
    <row r="10" spans="1:18" ht="21.75" customHeight="1" thickBot="1" x14ac:dyDescent="0.3">
      <c r="A10" s="3" t="s">
        <v>16</v>
      </c>
      <c r="B10" s="11">
        <v>75.06</v>
      </c>
      <c r="C10" s="11">
        <v>75.06</v>
      </c>
      <c r="D10" s="11">
        <v>75.03</v>
      </c>
      <c r="E10" s="11">
        <v>75.03</v>
      </c>
      <c r="F10" s="11">
        <v>75.03</v>
      </c>
      <c r="G10" s="11">
        <v>75.03</v>
      </c>
      <c r="H10" s="11">
        <v>82.92</v>
      </c>
      <c r="I10" s="11">
        <v>82.92</v>
      </c>
      <c r="J10" s="11">
        <v>82.92</v>
      </c>
      <c r="K10" s="11">
        <v>82.92</v>
      </c>
      <c r="L10" s="11">
        <v>82.92</v>
      </c>
      <c r="M10" s="11">
        <v>82.92</v>
      </c>
      <c r="N10" s="11">
        <f t="shared" si="19"/>
        <v>947.75999999999976</v>
      </c>
    </row>
    <row r="11" spans="1:18" ht="22.5" customHeight="1" thickBot="1" x14ac:dyDescent="0.3">
      <c r="A11" s="3" t="s">
        <v>17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9"/>
        <v>0</v>
      </c>
    </row>
    <row r="12" spans="1:18" ht="22.5" customHeight="1" thickBot="1" x14ac:dyDescent="0.3">
      <c r="A12" s="3" t="s">
        <v>23</v>
      </c>
      <c r="B12" s="11">
        <v>144.78</v>
      </c>
      <c r="C12" s="11">
        <v>144.78</v>
      </c>
      <c r="D12" s="11">
        <v>144.78</v>
      </c>
      <c r="E12" s="11">
        <v>144.78</v>
      </c>
      <c r="F12" s="11">
        <v>144.78</v>
      </c>
      <c r="G12" s="11">
        <v>144.78</v>
      </c>
      <c r="H12" s="11">
        <v>167.28</v>
      </c>
      <c r="I12" s="11">
        <v>167.28</v>
      </c>
      <c r="J12" s="11">
        <v>167.28</v>
      </c>
      <c r="K12" s="11">
        <v>167.28</v>
      </c>
      <c r="L12" s="11">
        <v>83.47</v>
      </c>
      <c r="M12" s="11">
        <v>-518.6</v>
      </c>
      <c r="N12" s="11">
        <f t="shared" si="19"/>
        <v>1102.67</v>
      </c>
    </row>
    <row r="13" spans="1:18" ht="22.5" customHeight="1" thickBot="1" x14ac:dyDescent="0.3">
      <c r="A13" s="3" t="s">
        <v>26</v>
      </c>
      <c r="B13" s="11">
        <v>200</v>
      </c>
      <c r="C13" s="11">
        <v>200</v>
      </c>
      <c r="D13" s="11">
        <v>200</v>
      </c>
      <c r="E13" s="11">
        <v>200</v>
      </c>
      <c r="F13" s="11">
        <v>200</v>
      </c>
      <c r="G13" s="11">
        <v>200</v>
      </c>
      <c r="H13" s="11">
        <v>200</v>
      </c>
      <c r="I13" s="11">
        <v>200</v>
      </c>
      <c r="J13" s="11">
        <v>200</v>
      </c>
      <c r="K13" s="11">
        <v>200</v>
      </c>
      <c r="L13" s="11">
        <v>200</v>
      </c>
      <c r="M13" s="11">
        <v>200</v>
      </c>
      <c r="N13" s="11">
        <f t="shared" si="19"/>
        <v>2400</v>
      </c>
    </row>
    <row r="14" spans="1:18" ht="20.25" customHeight="1" thickBot="1" x14ac:dyDescent="0.3">
      <c r="A14" s="12" t="s">
        <v>8</v>
      </c>
      <c r="B14" s="13">
        <f>SUM(B15:B20)</f>
        <v>40535.69999999999</v>
      </c>
      <c r="C14" s="13">
        <f t="shared" ref="C14:D14" si="20">SUM(C15:C20)</f>
        <v>30112.37</v>
      </c>
      <c r="D14" s="13">
        <f t="shared" si="20"/>
        <v>45402.729999999996</v>
      </c>
      <c r="E14" s="13">
        <f t="shared" ref="E14:M14" si="21">SUM(E15:E19)</f>
        <v>21634.14</v>
      </c>
      <c r="F14" s="13">
        <f t="shared" si="21"/>
        <v>24871.530000000002</v>
      </c>
      <c r="G14" s="13">
        <f t="shared" si="21"/>
        <v>24822.789999999997</v>
      </c>
      <c r="H14" s="13">
        <f t="shared" si="21"/>
        <v>20012.72</v>
      </c>
      <c r="I14" s="13">
        <f t="shared" si="21"/>
        <v>28570.2</v>
      </c>
      <c r="J14" s="13">
        <f t="shared" si="21"/>
        <v>20212.750000000004</v>
      </c>
      <c r="K14" s="13">
        <f t="shared" si="21"/>
        <v>38871.070000000007</v>
      </c>
      <c r="L14" s="13">
        <f t="shared" si="21"/>
        <v>22832.14</v>
      </c>
      <c r="M14" s="13">
        <f t="shared" si="21"/>
        <v>18839.63</v>
      </c>
      <c r="N14" s="13">
        <f>SUM(B14:M14)</f>
        <v>336717.77</v>
      </c>
    </row>
    <row r="15" spans="1:18" ht="24" customHeight="1" thickBot="1" x14ac:dyDescent="0.3">
      <c r="A15" s="3" t="s">
        <v>27</v>
      </c>
      <c r="B15" s="11">
        <f>28428.32+1121.93+1.89</f>
        <v>29552.14</v>
      </c>
      <c r="C15" s="11">
        <f>26243.79+1071.65+2.37</f>
        <v>27317.81</v>
      </c>
      <c r="D15" s="11">
        <f>40319.42+1436.77</f>
        <v>41756.189999999995</v>
      </c>
      <c r="E15" s="11">
        <f>20576.08+733.55</f>
        <v>21309.63</v>
      </c>
      <c r="F15" s="11">
        <f>23311.18+830.99</f>
        <v>24142.170000000002</v>
      </c>
      <c r="G15" s="11">
        <f>23638.31+842.7</f>
        <v>24481.010000000002</v>
      </c>
      <c r="H15" s="11">
        <f>19132.37+682.07</f>
        <v>19814.439999999999</v>
      </c>
      <c r="I15" s="11">
        <f>27212.15+970.1</f>
        <v>28182.25</v>
      </c>
      <c r="J15" s="11">
        <f>19154.2+876.9</f>
        <v>20031.100000000002</v>
      </c>
      <c r="K15" s="11">
        <f>37207.18+1227.04</f>
        <v>38434.22</v>
      </c>
      <c r="L15" s="11">
        <f>21904.16+686.15</f>
        <v>22590.31</v>
      </c>
      <c r="M15" s="11">
        <f>18081.2+645.26</f>
        <v>18726.46</v>
      </c>
      <c r="N15" s="11">
        <f>SUM(B15:M15)</f>
        <v>316337.73000000004</v>
      </c>
    </row>
    <row r="16" spans="1:18" ht="26.25" customHeight="1" thickBot="1" x14ac:dyDescent="0.3">
      <c r="A16" s="3" t="s">
        <v>15</v>
      </c>
      <c r="B16" s="11">
        <v>2391.92</v>
      </c>
      <c r="C16" s="11">
        <v>1802.64</v>
      </c>
      <c r="D16" s="11">
        <v>1611.48</v>
      </c>
      <c r="E16" s="11">
        <v>154.32</v>
      </c>
      <c r="F16" s="11">
        <v>430.58</v>
      </c>
      <c r="G16" s="11">
        <v>73.349999999999994</v>
      </c>
      <c r="H16" s="11">
        <v>40.020000000000003</v>
      </c>
      <c r="I16" s="11">
        <v>66.680000000000007</v>
      </c>
      <c r="J16" s="11">
        <v>1.63</v>
      </c>
      <c r="K16" s="11">
        <v>57.96</v>
      </c>
      <c r="L16" s="11">
        <v>37.14</v>
      </c>
      <c r="M16" s="11">
        <v>0</v>
      </c>
      <c r="N16" s="11">
        <f t="shared" ref="N16:N20" si="22">SUM(B16:M16)</f>
        <v>6667.7200000000021</v>
      </c>
    </row>
    <row r="17" spans="1:14" ht="26.25" customHeight="1" thickBot="1" x14ac:dyDescent="0.3">
      <c r="A17" s="3" t="s">
        <v>16</v>
      </c>
      <c r="B17" s="11">
        <v>103.42</v>
      </c>
      <c r="C17" s="11">
        <v>103.07</v>
      </c>
      <c r="D17" s="11">
        <v>113.84</v>
      </c>
      <c r="E17" s="11">
        <v>58.09</v>
      </c>
      <c r="F17" s="11">
        <v>65.8</v>
      </c>
      <c r="G17" s="11">
        <v>66.709999999999994</v>
      </c>
      <c r="H17" s="11">
        <v>54.02</v>
      </c>
      <c r="I17" s="11">
        <v>82.69</v>
      </c>
      <c r="J17" s="11">
        <v>59.68</v>
      </c>
      <c r="K17" s="11">
        <v>113.69</v>
      </c>
      <c r="L17" s="11">
        <v>67.94</v>
      </c>
      <c r="M17" s="11">
        <v>56.4</v>
      </c>
      <c r="N17" s="11">
        <f t="shared" si="22"/>
        <v>945.35</v>
      </c>
    </row>
    <row r="18" spans="1:14" ht="24" customHeight="1" thickBot="1" x14ac:dyDescent="0.3">
      <c r="A18" s="3" t="s">
        <v>17</v>
      </c>
      <c r="B18" s="11">
        <v>6702.2</v>
      </c>
      <c r="C18" s="11">
        <v>706.92</v>
      </c>
      <c r="D18" s="11">
        <v>1701.65</v>
      </c>
      <c r="E18" s="11">
        <v>0</v>
      </c>
      <c r="F18" s="11">
        <v>106.01</v>
      </c>
      <c r="G18" s="11">
        <v>72.959999999999994</v>
      </c>
      <c r="H18" s="11">
        <v>0</v>
      </c>
      <c r="I18" s="11">
        <v>73.61</v>
      </c>
      <c r="J18" s="11">
        <v>0</v>
      </c>
      <c r="K18" s="11">
        <v>37.76</v>
      </c>
      <c r="L18" s="11">
        <v>0</v>
      </c>
      <c r="M18" s="11">
        <v>0</v>
      </c>
      <c r="N18" s="11">
        <f t="shared" si="22"/>
        <v>9401.11</v>
      </c>
    </row>
    <row r="19" spans="1:14" ht="24" customHeight="1" thickBot="1" x14ac:dyDescent="0.3">
      <c r="A19" s="3" t="s">
        <v>23</v>
      </c>
      <c r="B19" s="14">
        <v>186.02</v>
      </c>
      <c r="C19" s="14">
        <v>181.93</v>
      </c>
      <c r="D19" s="14">
        <v>219.57</v>
      </c>
      <c r="E19" s="14">
        <v>112.1</v>
      </c>
      <c r="F19" s="14">
        <v>126.97</v>
      </c>
      <c r="G19" s="14">
        <v>128.76</v>
      </c>
      <c r="H19" s="14">
        <v>104.24</v>
      </c>
      <c r="I19" s="14">
        <v>164.97</v>
      </c>
      <c r="J19" s="14">
        <v>120.34</v>
      </c>
      <c r="K19" s="14">
        <v>227.44</v>
      </c>
      <c r="L19" s="14">
        <v>136.75</v>
      </c>
      <c r="M19" s="14">
        <v>56.77</v>
      </c>
      <c r="N19" s="14">
        <f t="shared" si="22"/>
        <v>1765.86</v>
      </c>
    </row>
    <row r="20" spans="1:14" ht="24" customHeight="1" thickBot="1" x14ac:dyDescent="0.3">
      <c r="A20" s="4" t="s">
        <v>26</v>
      </c>
      <c r="B20" s="15">
        <v>1600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400</v>
      </c>
      <c r="I20" s="15">
        <v>0</v>
      </c>
      <c r="J20" s="15">
        <v>0</v>
      </c>
      <c r="K20" s="15">
        <v>600</v>
      </c>
      <c r="L20" s="15">
        <v>0</v>
      </c>
      <c r="M20" s="16">
        <v>1200</v>
      </c>
      <c r="N20" s="15">
        <f t="shared" si="22"/>
        <v>3800</v>
      </c>
    </row>
    <row r="21" spans="1:14" ht="21.75" customHeight="1" thickBot="1" x14ac:dyDescent="0.3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1:14" ht="19.5" customHeight="1" thickBot="1" x14ac:dyDescent="0.3">
      <c r="A22" s="3" t="s">
        <v>1</v>
      </c>
      <c r="B22" s="11">
        <f t="shared" ref="B22:M22" si="23">1263.4*0.6</f>
        <v>758.04000000000008</v>
      </c>
      <c r="C22" s="11">
        <f t="shared" si="23"/>
        <v>758.04000000000008</v>
      </c>
      <c r="D22" s="11">
        <f t="shared" si="23"/>
        <v>758.04000000000008</v>
      </c>
      <c r="E22" s="11">
        <f t="shared" si="23"/>
        <v>758.04000000000008</v>
      </c>
      <c r="F22" s="11">
        <f t="shared" si="23"/>
        <v>758.04000000000008</v>
      </c>
      <c r="G22" s="11">
        <f t="shared" si="23"/>
        <v>758.04000000000008</v>
      </c>
      <c r="H22" s="11">
        <f t="shared" si="23"/>
        <v>758.04000000000008</v>
      </c>
      <c r="I22" s="11">
        <f t="shared" si="23"/>
        <v>758.04000000000008</v>
      </c>
      <c r="J22" s="11">
        <f t="shared" si="23"/>
        <v>758.04000000000008</v>
      </c>
      <c r="K22" s="11">
        <f t="shared" si="23"/>
        <v>758.04000000000008</v>
      </c>
      <c r="L22" s="11">
        <f t="shared" si="23"/>
        <v>758.04000000000008</v>
      </c>
      <c r="M22" s="11">
        <f t="shared" si="23"/>
        <v>758.04000000000008</v>
      </c>
      <c r="N22" s="11">
        <f>SUM(B22:M22)</f>
        <v>9096.4800000000014</v>
      </c>
    </row>
    <row r="23" spans="1:14" ht="22.5" customHeight="1" thickBot="1" x14ac:dyDescent="0.3">
      <c r="A23" s="3" t="s">
        <v>2</v>
      </c>
      <c r="B23" s="11">
        <f t="shared" ref="B23:M23" si="24">1263.4*0.17</f>
        <v>214.77800000000002</v>
      </c>
      <c r="C23" s="11">
        <f t="shared" si="24"/>
        <v>214.77800000000002</v>
      </c>
      <c r="D23" s="11">
        <f t="shared" si="24"/>
        <v>214.77800000000002</v>
      </c>
      <c r="E23" s="11">
        <f t="shared" si="24"/>
        <v>214.77800000000002</v>
      </c>
      <c r="F23" s="11">
        <f t="shared" si="24"/>
        <v>214.77800000000002</v>
      </c>
      <c r="G23" s="11">
        <f t="shared" si="24"/>
        <v>214.77800000000002</v>
      </c>
      <c r="H23" s="11">
        <f t="shared" si="24"/>
        <v>214.77800000000002</v>
      </c>
      <c r="I23" s="11">
        <f t="shared" si="24"/>
        <v>214.77800000000002</v>
      </c>
      <c r="J23" s="11">
        <f t="shared" si="24"/>
        <v>214.77800000000002</v>
      </c>
      <c r="K23" s="11">
        <f t="shared" si="24"/>
        <v>214.77800000000002</v>
      </c>
      <c r="L23" s="11">
        <f t="shared" si="24"/>
        <v>214.77800000000002</v>
      </c>
      <c r="M23" s="11">
        <f t="shared" si="24"/>
        <v>214.77800000000002</v>
      </c>
      <c r="N23" s="11">
        <f t="shared" ref="N23:N34" si="25">SUM(B23:M23)</f>
        <v>2577.3360000000002</v>
      </c>
    </row>
    <row r="24" spans="1:14" ht="21" customHeight="1" thickBot="1" x14ac:dyDescent="0.3">
      <c r="A24" s="3" t="s">
        <v>3</v>
      </c>
      <c r="B24" s="11">
        <f>28347.52*2.3%</f>
        <v>651.99296000000004</v>
      </c>
      <c r="C24" s="11">
        <f>28982.56*2.3%</f>
        <v>666.59888000000001</v>
      </c>
      <c r="D24" s="11">
        <f>27914.32*2.3%</f>
        <v>642.02936</v>
      </c>
      <c r="E24" s="11">
        <f>28249.12*2.3%</f>
        <v>649.72975999999994</v>
      </c>
      <c r="F24" s="11">
        <f>27749.34*2.3%</f>
        <v>638.23482000000001</v>
      </c>
      <c r="G24" s="11">
        <f>27800.73*2.3%</f>
        <v>639.41678999999999</v>
      </c>
      <c r="H24" s="11">
        <f>27779.73*2.3%</f>
        <v>638.93378999999993</v>
      </c>
      <c r="I24" s="11">
        <f>27779.73*2.3%</f>
        <v>638.93378999999993</v>
      </c>
      <c r="J24" s="11">
        <f>27779.73*2.3%</f>
        <v>638.93378999999993</v>
      </c>
      <c r="K24" s="11">
        <f>27818.47*2.3%</f>
        <v>639.82481000000007</v>
      </c>
      <c r="L24" s="11">
        <f>27720.45*2.3%</f>
        <v>637.57034999999996</v>
      </c>
      <c r="M24" s="11">
        <f>27093.85*2.3%</f>
        <v>623.15854999999999</v>
      </c>
      <c r="N24" s="11">
        <f t="shared" si="25"/>
        <v>7705.3576499999999</v>
      </c>
    </row>
    <row r="25" spans="1:14" ht="23.25" customHeight="1" thickBot="1" x14ac:dyDescent="0.3">
      <c r="A25" s="3" t="s">
        <v>4</v>
      </c>
      <c r="B25" s="11">
        <f>38935.7*3%</f>
        <v>1168.0709999999999</v>
      </c>
      <c r="C25" s="11">
        <f>30112.37*3%</f>
        <v>903.37109999999996</v>
      </c>
      <c r="D25" s="11">
        <f>45402.73*3%</f>
        <v>1362.0819000000001</v>
      </c>
      <c r="E25" s="11">
        <f>21634.14*3%</f>
        <v>649.02419999999995</v>
      </c>
      <c r="F25" s="11">
        <f>24871.53*3%</f>
        <v>746.14589999999998</v>
      </c>
      <c r="G25" s="11">
        <f>24822.79*3%</f>
        <v>744.68370000000004</v>
      </c>
      <c r="H25" s="11">
        <f>20012.72*3%</f>
        <v>600.38160000000005</v>
      </c>
      <c r="I25" s="11">
        <f>28570.2*3%</f>
        <v>857.10599999999999</v>
      </c>
      <c r="J25" s="11">
        <f>20212.75*3%</f>
        <v>606.38249999999994</v>
      </c>
      <c r="K25" s="11">
        <f>38871.07*3%</f>
        <v>1166.1321</v>
      </c>
      <c r="L25" s="11">
        <f>22832.14*3%</f>
        <v>684.96420000000001</v>
      </c>
      <c r="M25" s="11">
        <f>18839.63*3%</f>
        <v>565.18889999999999</v>
      </c>
      <c r="N25" s="11">
        <f t="shared" si="25"/>
        <v>10053.533099999999</v>
      </c>
    </row>
    <row r="26" spans="1:14" ht="23.25" customHeight="1" thickBot="1" x14ac:dyDescent="0.3">
      <c r="A26" s="3" t="s">
        <v>9</v>
      </c>
      <c r="B26" s="11">
        <f t="shared" ref="B26:M26" si="26">1263.4*9.7</f>
        <v>12254.98</v>
      </c>
      <c r="C26" s="11">
        <f t="shared" si="26"/>
        <v>12254.98</v>
      </c>
      <c r="D26" s="11">
        <f t="shared" si="26"/>
        <v>12254.98</v>
      </c>
      <c r="E26" s="11">
        <f t="shared" si="26"/>
        <v>12254.98</v>
      </c>
      <c r="F26" s="11">
        <f t="shared" si="26"/>
        <v>12254.98</v>
      </c>
      <c r="G26" s="11">
        <f t="shared" si="26"/>
        <v>12254.98</v>
      </c>
      <c r="H26" s="11">
        <f t="shared" si="26"/>
        <v>12254.98</v>
      </c>
      <c r="I26" s="11">
        <f t="shared" si="26"/>
        <v>12254.98</v>
      </c>
      <c r="J26" s="11">
        <f t="shared" si="26"/>
        <v>12254.98</v>
      </c>
      <c r="K26" s="11">
        <f t="shared" si="26"/>
        <v>12254.98</v>
      </c>
      <c r="L26" s="11">
        <f t="shared" si="26"/>
        <v>12254.98</v>
      </c>
      <c r="M26" s="11">
        <f t="shared" si="26"/>
        <v>12254.98</v>
      </c>
      <c r="N26" s="11">
        <f t="shared" si="25"/>
        <v>147059.75999999998</v>
      </c>
    </row>
    <row r="27" spans="1:14" ht="26.25" customHeight="1" thickBot="1" x14ac:dyDescent="0.3">
      <c r="A27" s="3" t="s">
        <v>18</v>
      </c>
      <c r="B27" s="11">
        <f>913.55+319.67</f>
        <v>1233.22</v>
      </c>
      <c r="C27" s="11">
        <f>0+164.97</f>
        <v>164.97</v>
      </c>
      <c r="D27" s="11">
        <f>387.18+112.6</f>
        <v>499.78</v>
      </c>
      <c r="E27" s="11">
        <v>0</v>
      </c>
      <c r="F27" s="11">
        <f>0+51.39</f>
        <v>51.39</v>
      </c>
      <c r="G27" s="11">
        <v>0</v>
      </c>
      <c r="H27" s="11">
        <v>0</v>
      </c>
      <c r="I27" s="11">
        <v>0</v>
      </c>
      <c r="J27" s="11">
        <f>0+38.76</f>
        <v>38.76</v>
      </c>
      <c r="K27" s="11">
        <f>0+24.53</f>
        <v>24.53</v>
      </c>
      <c r="L27" s="11">
        <v>0</v>
      </c>
      <c r="M27" s="11">
        <f>0+0.58</f>
        <v>0.57999999999999996</v>
      </c>
      <c r="N27" s="11">
        <f t="shared" si="25"/>
        <v>2013.23</v>
      </c>
    </row>
    <row r="28" spans="1:14" ht="25.5" customHeight="1" thickBot="1" x14ac:dyDescent="0.3">
      <c r="A28" s="3" t="s">
        <v>19</v>
      </c>
      <c r="B28" s="11">
        <v>112.55</v>
      </c>
      <c r="C28" s="11">
        <v>112.55</v>
      </c>
      <c r="D28" s="11">
        <v>112.55</v>
      </c>
      <c r="E28" s="11">
        <v>112.55</v>
      </c>
      <c r="F28" s="11">
        <v>112.55</v>
      </c>
      <c r="G28" s="11">
        <v>112.55</v>
      </c>
      <c r="H28" s="11">
        <v>124.12</v>
      </c>
      <c r="I28" s="11">
        <v>124.12</v>
      </c>
      <c r="J28" s="11">
        <v>124.12</v>
      </c>
      <c r="K28" s="11">
        <v>124.12</v>
      </c>
      <c r="L28" s="11">
        <v>124.12</v>
      </c>
      <c r="M28" s="11">
        <v>124.12</v>
      </c>
      <c r="N28" s="11">
        <f t="shared" si="25"/>
        <v>1420.0199999999995</v>
      </c>
    </row>
    <row r="29" spans="1:14" ht="23.25" customHeight="1" thickBot="1" x14ac:dyDescent="0.3">
      <c r="A29" s="3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25"/>
        <v>0</v>
      </c>
    </row>
    <row r="30" spans="1:14" ht="26.25" customHeight="1" thickBot="1" x14ac:dyDescent="0.3">
      <c r="A30" s="3" t="s">
        <v>23</v>
      </c>
      <c r="B30" s="11">
        <v>144.78</v>
      </c>
      <c r="C30" s="11">
        <v>144.78</v>
      </c>
      <c r="D30" s="11">
        <v>144.78</v>
      </c>
      <c r="E30" s="11">
        <v>144.78</v>
      </c>
      <c r="F30" s="11">
        <v>144.78</v>
      </c>
      <c r="G30" s="11">
        <v>144.78</v>
      </c>
      <c r="H30" s="11">
        <v>83.48</v>
      </c>
      <c r="I30" s="11">
        <v>83.48</v>
      </c>
      <c r="J30" s="11">
        <f>83.48+83.48</f>
        <v>166.96</v>
      </c>
      <c r="K30" s="11">
        <v>83.48</v>
      </c>
      <c r="L30" s="11">
        <v>83.48</v>
      </c>
      <c r="M30" s="11">
        <v>83.48</v>
      </c>
      <c r="N30" s="11">
        <f t="shared" si="25"/>
        <v>1453.04</v>
      </c>
    </row>
    <row r="31" spans="1:14" ht="22.5" customHeight="1" thickBot="1" x14ac:dyDescent="0.3">
      <c r="A31" s="3" t="s">
        <v>6</v>
      </c>
      <c r="B31" s="11">
        <f t="shared" ref="B31:M31" si="27">1263.4*3.15</f>
        <v>3979.71</v>
      </c>
      <c r="C31" s="11">
        <f t="shared" si="27"/>
        <v>3979.71</v>
      </c>
      <c r="D31" s="11">
        <f t="shared" si="27"/>
        <v>3979.71</v>
      </c>
      <c r="E31" s="11">
        <f t="shared" si="27"/>
        <v>3979.71</v>
      </c>
      <c r="F31" s="11">
        <f t="shared" si="27"/>
        <v>3979.71</v>
      </c>
      <c r="G31" s="11">
        <f t="shared" si="27"/>
        <v>3979.71</v>
      </c>
      <c r="H31" s="11">
        <f t="shared" si="27"/>
        <v>3979.71</v>
      </c>
      <c r="I31" s="11">
        <f t="shared" si="27"/>
        <v>3979.71</v>
      </c>
      <c r="J31" s="11">
        <f t="shared" si="27"/>
        <v>3979.71</v>
      </c>
      <c r="K31" s="11">
        <f t="shared" si="27"/>
        <v>3979.71</v>
      </c>
      <c r="L31" s="11">
        <f t="shared" si="27"/>
        <v>3979.71</v>
      </c>
      <c r="M31" s="11">
        <f t="shared" si="27"/>
        <v>3979.71</v>
      </c>
      <c r="N31" s="11">
        <f t="shared" si="25"/>
        <v>47756.52</v>
      </c>
    </row>
    <row r="32" spans="1:14" ht="22.5" customHeight="1" thickBot="1" x14ac:dyDescent="0.3">
      <c r="A32" s="3" t="s">
        <v>25</v>
      </c>
      <c r="B32" s="11">
        <v>900</v>
      </c>
      <c r="C32" s="11">
        <v>900</v>
      </c>
      <c r="D32" s="11">
        <v>900</v>
      </c>
      <c r="E32" s="11">
        <v>900</v>
      </c>
      <c r="F32" s="11">
        <v>900</v>
      </c>
      <c r="G32" s="11">
        <v>900</v>
      </c>
      <c r="H32" s="11">
        <v>900</v>
      </c>
      <c r="I32" s="11">
        <v>900</v>
      </c>
      <c r="J32" s="11">
        <v>900</v>
      </c>
      <c r="K32" s="11">
        <v>900</v>
      </c>
      <c r="L32" s="11">
        <v>900</v>
      </c>
      <c r="M32" s="11">
        <v>900</v>
      </c>
      <c r="N32" s="11">
        <f t="shared" si="25"/>
        <v>10800</v>
      </c>
    </row>
    <row r="33" spans="1:14" ht="24.75" customHeight="1" thickBot="1" x14ac:dyDescent="0.3">
      <c r="A33" s="3" t="s">
        <v>24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8631.9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25"/>
        <v>8631.9</v>
      </c>
    </row>
    <row r="34" spans="1:14" ht="24" customHeight="1" thickBot="1" x14ac:dyDescent="0.3">
      <c r="A34" s="3" t="s">
        <v>10</v>
      </c>
      <c r="B34" s="11">
        <f>1600</f>
        <v>1600</v>
      </c>
      <c r="C34" s="11">
        <v>0</v>
      </c>
      <c r="D34" s="11">
        <v>0</v>
      </c>
      <c r="E34" s="11">
        <f>6022.6+1037.9+77306</f>
        <v>84366.5</v>
      </c>
      <c r="F34" s="11">
        <f>2499.3</f>
        <v>2499.3000000000002</v>
      </c>
      <c r="G34" s="11">
        <v>0</v>
      </c>
      <c r="H34" s="11">
        <f>15623</f>
        <v>15623</v>
      </c>
      <c r="I34" s="11">
        <v>0</v>
      </c>
      <c r="J34" s="11">
        <f>24590+915.2+7273.9+3034</f>
        <v>35813.1</v>
      </c>
      <c r="K34" s="11">
        <f>6549.1+111500</f>
        <v>118049.1</v>
      </c>
      <c r="L34" s="11">
        <v>0</v>
      </c>
      <c r="M34" s="11">
        <v>0</v>
      </c>
      <c r="N34" s="11">
        <f t="shared" si="25"/>
        <v>257951</v>
      </c>
    </row>
    <row r="35" spans="1:14" ht="22.5" customHeight="1" thickBot="1" x14ac:dyDescent="0.3">
      <c r="A35" s="9" t="s">
        <v>21</v>
      </c>
      <c r="B35" s="10">
        <f t="shared" ref="B35:M35" si="28">SUM(B22:B34)</f>
        <v>23018.121959999997</v>
      </c>
      <c r="C35" s="10">
        <f t="shared" si="28"/>
        <v>20099.777979999999</v>
      </c>
      <c r="D35" s="10">
        <f t="shared" si="28"/>
        <v>20868.72926</v>
      </c>
      <c r="E35" s="10">
        <f t="shared" si="28"/>
        <v>104030.09195999999</v>
      </c>
      <c r="F35" s="10">
        <f t="shared" si="28"/>
        <v>22299.908719999999</v>
      </c>
      <c r="G35" s="10">
        <f t="shared" si="28"/>
        <v>28380.838490000002</v>
      </c>
      <c r="H35" s="10">
        <f t="shared" si="28"/>
        <v>35177.423389999996</v>
      </c>
      <c r="I35" s="10">
        <f t="shared" si="28"/>
        <v>19811.147789999999</v>
      </c>
      <c r="J35" s="10">
        <f t="shared" si="28"/>
        <v>55495.764289999999</v>
      </c>
      <c r="K35" s="10">
        <f t="shared" si="28"/>
        <v>138194.69491000002</v>
      </c>
      <c r="L35" s="10">
        <f t="shared" si="28"/>
        <v>19637.64255</v>
      </c>
      <c r="M35" s="10">
        <f t="shared" si="28"/>
        <v>19504.035449999999</v>
      </c>
      <c r="N35" s="10">
        <f>SUM(B35:M35)</f>
        <v>506518.17675000004</v>
      </c>
    </row>
    <row r="36" spans="1:14" ht="23.25" customHeight="1" thickBot="1" x14ac:dyDescent="0.3">
      <c r="A36" s="3" t="s">
        <v>5</v>
      </c>
      <c r="B36" s="14">
        <f t="shared" ref="B36:N36" si="29">B14-B35</f>
        <v>17517.578039999993</v>
      </c>
      <c r="C36" s="14">
        <f t="shared" si="29"/>
        <v>10012.59202</v>
      </c>
      <c r="D36" s="14">
        <f t="shared" si="29"/>
        <v>24534.000739999996</v>
      </c>
      <c r="E36" s="14">
        <f t="shared" si="29"/>
        <v>-82395.951959999991</v>
      </c>
      <c r="F36" s="14">
        <f t="shared" si="29"/>
        <v>2571.621280000003</v>
      </c>
      <c r="G36" s="14">
        <f t="shared" si="29"/>
        <v>-3558.0484900000047</v>
      </c>
      <c r="H36" s="14">
        <f t="shared" si="29"/>
        <v>-15164.703389999995</v>
      </c>
      <c r="I36" s="14">
        <f t="shared" si="29"/>
        <v>8759.0522100000017</v>
      </c>
      <c r="J36" s="14">
        <f t="shared" si="29"/>
        <v>-35283.014289999992</v>
      </c>
      <c r="K36" s="14">
        <f t="shared" si="29"/>
        <v>-99323.624910000013</v>
      </c>
      <c r="L36" s="14">
        <f t="shared" si="29"/>
        <v>3194.4974499999989</v>
      </c>
      <c r="M36" s="14">
        <f t="shared" si="29"/>
        <v>-664.40544999999838</v>
      </c>
      <c r="N36" s="14">
        <f t="shared" si="29"/>
        <v>-169800.40675000002</v>
      </c>
    </row>
    <row r="37" spans="1:14" ht="23.25" customHeight="1" thickBot="1" x14ac:dyDescent="0.3">
      <c r="A37" s="3" t="s">
        <v>7</v>
      </c>
      <c r="B37" s="16">
        <f t="shared" ref="B37:N37" si="30">B5+B36</f>
        <v>-289994.36196000001</v>
      </c>
      <c r="C37" s="16">
        <f t="shared" si="30"/>
        <v>-279981.76994000003</v>
      </c>
      <c r="D37" s="16">
        <f t="shared" si="30"/>
        <v>-255447.76920000004</v>
      </c>
      <c r="E37" s="16">
        <f t="shared" si="30"/>
        <v>-337843.72116000002</v>
      </c>
      <c r="F37" s="16">
        <f t="shared" si="30"/>
        <v>-335272.09987999999</v>
      </c>
      <c r="G37" s="16">
        <f t="shared" si="30"/>
        <v>-338830.14837000001</v>
      </c>
      <c r="H37" s="16">
        <f t="shared" si="30"/>
        <v>-353994.85175999999</v>
      </c>
      <c r="I37" s="16">
        <f t="shared" si="30"/>
        <v>-345235.79955</v>
      </c>
      <c r="J37" s="16">
        <f t="shared" si="30"/>
        <v>-380518.81383999996</v>
      </c>
      <c r="K37" s="16">
        <f t="shared" si="30"/>
        <v>-479842.43874999997</v>
      </c>
      <c r="L37" s="16">
        <f t="shared" si="30"/>
        <v>-476647.94129999995</v>
      </c>
      <c r="M37" s="16">
        <f t="shared" si="30"/>
        <v>-477312.34674999997</v>
      </c>
      <c r="N37" s="16">
        <f t="shared" si="30"/>
        <v>-477312.34675000003</v>
      </c>
    </row>
    <row r="38" spans="1:14" ht="23.25" customHeight="1" thickBot="1" x14ac:dyDescent="0.3">
      <c r="A38" s="3" t="s">
        <v>42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4856.22</v>
      </c>
      <c r="M38" s="11">
        <v>0</v>
      </c>
      <c r="N38" s="11">
        <v>4856.22</v>
      </c>
    </row>
    <row r="39" spans="1:14" ht="27" customHeight="1" thickBot="1" x14ac:dyDescent="0.3">
      <c r="A39" s="17" t="s">
        <v>11</v>
      </c>
      <c r="B39" s="19">
        <f t="shared" ref="B39:N39" si="31">B6+B14-B7</f>
        <v>-91719.37000000001</v>
      </c>
      <c r="C39" s="19">
        <f t="shared" si="31"/>
        <v>-90789.560000000012</v>
      </c>
      <c r="D39" s="19">
        <f t="shared" si="31"/>
        <v>-73501.150000000009</v>
      </c>
      <c r="E39" s="19">
        <f t="shared" si="31"/>
        <v>-80116.13</v>
      </c>
      <c r="F39" s="19">
        <f t="shared" si="31"/>
        <v>-82993.94</v>
      </c>
      <c r="G39" s="19">
        <f t="shared" si="31"/>
        <v>-85971.88</v>
      </c>
      <c r="H39" s="19">
        <f t="shared" si="31"/>
        <v>-93738.89</v>
      </c>
      <c r="I39" s="19">
        <f t="shared" si="31"/>
        <v>-92948.42</v>
      </c>
      <c r="J39" s="19">
        <f t="shared" si="31"/>
        <v>-100515.4</v>
      </c>
      <c r="K39" s="19">
        <f t="shared" si="31"/>
        <v>-89462.799999999988</v>
      </c>
      <c r="L39" s="19">
        <f>L6-L7+L14+L38</f>
        <v>-89494.889999999985</v>
      </c>
      <c r="M39" s="19">
        <f t="shared" ref="M39:N39" si="32">M6-M7+M14+M38</f>
        <v>-97749.109999999986</v>
      </c>
      <c r="N39" s="19">
        <f t="shared" si="32"/>
        <v>-97749.109999999841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2025-03-03T09:49:17Z</cp:lastPrinted>
  <dcterms:created xsi:type="dcterms:W3CDTF">2011-06-06T03:25:48Z</dcterms:created>
  <dcterms:modified xsi:type="dcterms:W3CDTF">2025-03-03T09:54:25Z</dcterms:modified>
</cp:coreProperties>
</file>