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 calcOnSave="0" concurrentCalc="0"/>
</workbook>
</file>

<file path=xl/calcChain.xml><?xml version="1.0" encoding="utf-8"?>
<calcChain xmlns="http://schemas.openxmlformats.org/spreadsheetml/2006/main">
  <c r="M34" i="1" l="1"/>
  <c r="L34" i="1"/>
  <c r="K34" i="1"/>
  <c r="L35" i="1"/>
  <c r="N34" i="1"/>
  <c r="M33" i="1"/>
  <c r="L33" i="1"/>
  <c r="B34" i="1"/>
  <c r="C34" i="1"/>
  <c r="D34" i="1"/>
  <c r="E34" i="1"/>
  <c r="F34" i="1"/>
  <c r="G34" i="1"/>
  <c r="H34" i="1"/>
  <c r="I34" i="1"/>
  <c r="J34" i="1"/>
  <c r="K33" i="1"/>
  <c r="M27" i="1"/>
  <c r="L27" i="1"/>
  <c r="K27" i="1"/>
  <c r="K35" i="1"/>
  <c r="M25" i="1"/>
  <c r="M15" i="1"/>
  <c r="M24" i="1"/>
  <c r="M8" i="1"/>
  <c r="L25" i="1"/>
  <c r="L15" i="1"/>
  <c r="L24" i="1"/>
  <c r="L8" i="1"/>
  <c r="K25" i="1"/>
  <c r="K15" i="1"/>
  <c r="K24" i="1"/>
  <c r="K8" i="1"/>
  <c r="K31" i="1"/>
  <c r="L31" i="1"/>
  <c r="M31" i="1"/>
  <c r="K26" i="1"/>
  <c r="L26" i="1"/>
  <c r="M26" i="1"/>
  <c r="K23" i="1"/>
  <c r="L23" i="1"/>
  <c r="M23" i="1"/>
  <c r="K22" i="1"/>
  <c r="L22" i="1"/>
  <c r="M22" i="1"/>
  <c r="I35" i="1"/>
  <c r="J35" i="1"/>
  <c r="J33" i="1"/>
  <c r="I33" i="1"/>
  <c r="H33" i="1"/>
  <c r="J25" i="1"/>
  <c r="J15" i="1"/>
  <c r="J24" i="1"/>
  <c r="J8" i="1"/>
  <c r="I8" i="1"/>
  <c r="I25" i="1"/>
  <c r="I15" i="1"/>
  <c r="I24" i="1"/>
  <c r="H31" i="1"/>
  <c r="I31" i="1"/>
  <c r="J31" i="1"/>
  <c r="H25" i="1"/>
  <c r="H15" i="1"/>
  <c r="H24" i="1"/>
  <c r="H8" i="1"/>
  <c r="H26" i="1"/>
  <c r="I26" i="1"/>
  <c r="J26" i="1"/>
  <c r="H23" i="1"/>
  <c r="I23" i="1"/>
  <c r="J23" i="1"/>
  <c r="H22" i="1"/>
  <c r="I22" i="1"/>
  <c r="J22" i="1"/>
  <c r="F33" i="1"/>
  <c r="G33" i="1"/>
  <c r="N33" i="1"/>
  <c r="G27" i="1"/>
  <c r="F35" i="1"/>
  <c r="G25" i="1"/>
  <c r="G15" i="1"/>
  <c r="G24" i="1"/>
  <c r="G8" i="1"/>
  <c r="F25" i="1"/>
  <c r="F15" i="1"/>
  <c r="F24" i="1"/>
  <c r="F8" i="1"/>
  <c r="E31" i="1"/>
  <c r="F31" i="1"/>
  <c r="G31" i="1"/>
  <c r="E25" i="1"/>
  <c r="E15" i="1"/>
  <c r="E24" i="1"/>
  <c r="D8" i="1"/>
  <c r="E8" i="1"/>
  <c r="E35" i="1"/>
  <c r="E26" i="1"/>
  <c r="F26" i="1"/>
  <c r="G26" i="1"/>
  <c r="E23" i="1"/>
  <c r="F23" i="1"/>
  <c r="G23" i="1"/>
  <c r="E22" i="1"/>
  <c r="F22" i="1"/>
  <c r="G22" i="1"/>
  <c r="B27" i="1"/>
  <c r="D25" i="1"/>
  <c r="D15" i="1"/>
  <c r="D24" i="1"/>
  <c r="C25" i="1"/>
  <c r="C15" i="1"/>
  <c r="C24" i="1"/>
  <c r="C8" i="1"/>
  <c r="C31" i="1"/>
  <c r="D31" i="1"/>
  <c r="C26" i="1"/>
  <c r="D26" i="1"/>
  <c r="C23" i="1"/>
  <c r="D23" i="1"/>
  <c r="C22" i="1"/>
  <c r="D22" i="1"/>
  <c r="B25" i="1"/>
  <c r="B15" i="1"/>
  <c r="B24" i="1"/>
  <c r="B8" i="1"/>
  <c r="B31" i="1"/>
  <c r="B26" i="1"/>
  <c r="B23" i="1"/>
  <c r="B22" i="1"/>
  <c r="N26" i="1"/>
  <c r="N28" i="1"/>
  <c r="N29" i="1"/>
  <c r="N30" i="1"/>
  <c r="N32" i="1"/>
  <c r="N31" i="1"/>
  <c r="N23" i="1"/>
  <c r="N22" i="1"/>
  <c r="H14" i="1"/>
  <c r="H7" i="1"/>
  <c r="H36" i="1"/>
  <c r="H37" i="1"/>
  <c r="E14" i="1"/>
  <c r="F14" i="1"/>
  <c r="G14" i="1"/>
  <c r="E7" i="1"/>
  <c r="F7" i="1"/>
  <c r="G7" i="1"/>
  <c r="N35" i="1"/>
  <c r="G36" i="1"/>
  <c r="G37" i="1"/>
  <c r="F36" i="1"/>
  <c r="F37" i="1"/>
  <c r="E36" i="1"/>
  <c r="E37" i="1"/>
  <c r="N27" i="1"/>
  <c r="N25" i="1"/>
  <c r="N24" i="1"/>
  <c r="C14" i="1"/>
  <c r="D14" i="1"/>
  <c r="C7" i="1"/>
  <c r="D7" i="1"/>
  <c r="N6" i="1"/>
  <c r="N5" i="1"/>
  <c r="D36" i="1"/>
  <c r="D37" i="1"/>
  <c r="C36" i="1"/>
  <c r="C37" i="1"/>
  <c r="N16" i="1"/>
  <c r="N17" i="1"/>
  <c r="N18" i="1"/>
  <c r="N19" i="1"/>
  <c r="N20" i="1"/>
  <c r="K14" i="1"/>
  <c r="L14" i="1"/>
  <c r="M14" i="1"/>
  <c r="N9" i="1"/>
  <c r="N10" i="1"/>
  <c r="N11" i="1"/>
  <c r="N12" i="1"/>
  <c r="N13" i="1"/>
  <c r="K7" i="1"/>
  <c r="L7" i="1"/>
  <c r="M7" i="1"/>
  <c r="K36" i="1"/>
  <c r="K37" i="1"/>
  <c r="M36" i="1"/>
  <c r="M37" i="1"/>
  <c r="L36" i="1"/>
  <c r="L37" i="1"/>
  <c r="N15" i="1"/>
  <c r="N8" i="1"/>
  <c r="I7" i="1"/>
  <c r="B14" i="1"/>
  <c r="I14" i="1"/>
  <c r="I36" i="1"/>
  <c r="B7" i="1"/>
  <c r="I37" i="1"/>
  <c r="B39" i="1"/>
  <c r="B36" i="1"/>
  <c r="C6" i="1"/>
  <c r="B37" i="1"/>
  <c r="B38" i="1"/>
  <c r="C5" i="1"/>
  <c r="J14" i="1"/>
  <c r="N14" i="1"/>
  <c r="J7" i="1"/>
  <c r="N7" i="1"/>
  <c r="J36" i="1"/>
  <c r="J37" i="1"/>
  <c r="C39" i="1"/>
  <c r="D6" i="1"/>
  <c r="D39" i="1"/>
  <c r="E6" i="1"/>
  <c r="C38" i="1"/>
  <c r="D5" i="1"/>
  <c r="D38" i="1"/>
  <c r="E5" i="1"/>
  <c r="E38" i="1"/>
  <c r="N39" i="1"/>
  <c r="E39" i="1"/>
  <c r="F6" i="1"/>
  <c r="F39" i="1"/>
  <c r="F5" i="1"/>
  <c r="F38" i="1"/>
  <c r="N36" i="1"/>
  <c r="N37" i="1"/>
  <c r="N38" i="1"/>
  <c r="G6" i="1"/>
  <c r="G39" i="1"/>
  <c r="G5" i="1"/>
  <c r="G38" i="1"/>
  <c r="H6" i="1"/>
  <c r="H39" i="1"/>
  <c r="I6" i="1"/>
  <c r="I39" i="1"/>
  <c r="J6" i="1"/>
  <c r="H5" i="1"/>
  <c r="J39" i="1"/>
  <c r="K6" i="1"/>
  <c r="K39" i="1"/>
  <c r="L6" i="1"/>
  <c r="L39" i="1"/>
  <c r="M6" i="1"/>
  <c r="M39" i="1"/>
  <c r="H38" i="1"/>
  <c r="I5" i="1"/>
  <c r="I38" i="1"/>
  <c r="J5" i="1"/>
  <c r="J38" i="1"/>
  <c r="K5" i="1"/>
  <c r="K38" i="1"/>
  <c r="L5" i="1"/>
  <c r="L38" i="1"/>
  <c r="M5" i="1"/>
  <c r="M38" i="1"/>
</calcChain>
</file>

<file path=xl/sharedStrings.xml><?xml version="1.0" encoding="utf-8"?>
<sst xmlns="http://schemas.openxmlformats.org/spreadsheetml/2006/main" count="50" uniqueCount="43">
  <si>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</si>
  <si>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</si>
  <si>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</si>
  <si>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</si>
  <si>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</si>
  <si>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</si>
  <si>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</si>
  <si>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</si>
  <si>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</si>
  <si>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</si>
  <si>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</si>
  <si>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</si>
  <si>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</si>
  <si>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</si>
  <si>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</si>
  <si>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</si>
  <si>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</si>
  <si>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</si>
  <si>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</si>
  <si>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</si>
  <si>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</si>
  <si>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</si>
  <si>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</si>
  <si>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</si>
  <si>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приборов учета</t>
  </si>
  <si>
    <t xml:space="preserve">Содержание жилья и текущий ремонт, ОПУ </t>
  </si>
  <si>
    <t>Содержание жилья и текущий ремонт, ОПУ</t>
  </si>
  <si>
    <t>Январь 2024г</t>
  </si>
  <si>
    <t>Февраль 2024г</t>
  </si>
  <si>
    <t>Март 2024г</t>
  </si>
  <si>
    <t>Апрель 2024г</t>
  </si>
  <si>
    <t>Май 2024г</t>
  </si>
  <si>
    <t>Июнь 2024г</t>
  </si>
  <si>
    <t>Июль 2024г</t>
  </si>
  <si>
    <t>Август 2024г</t>
  </si>
  <si>
    <t>Сентябрь 2024г</t>
  </si>
  <si>
    <t>Октябрь 2024г.</t>
  </si>
  <si>
    <t>Ноябрь 2024г.</t>
  </si>
  <si>
    <t>Декабрь 2024г.</t>
  </si>
  <si>
    <t>Всего:                       за  2024г</t>
  </si>
  <si>
    <t>Вознаграждение совета МКД</t>
  </si>
  <si>
    <t>Налоги с вознаграждения совета МКД</t>
  </si>
  <si>
    <t xml:space="preserve">                 ОТЧЕТ по дому 8 Марта, 15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</si>
</sst>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C1" zoomScale="75" workbookViewId="0">
      <selection activeCell="O4" sqref="O2:O4"/>
    </sheetView>
  </sheetViews>
  <sheetFormatPr defaultRowHeight="13.2" x14ac:dyDescent="0.25"/>
  <cols>
    <col min="1" max="1" width="51.6640625" customWidth="1"/>
    <col min="2" max="3" width="14.21875" customWidth="1"/>
    <col min="4" max="4" width="14.5546875" customWidth="1"/>
    <col min="5" max="5" width="15.109375" customWidth="1"/>
    <col min="6" max="6" width="14.33203125" customWidth="1"/>
    <col min="7" max="7" width="15" customWidth="1"/>
    <col min="8" max="8" width="15.44140625" customWidth="1"/>
    <col min="9" max="9" width="13.77734375" customWidth="1"/>
    <col min="10" max="10" width="14.5546875" customWidth="1"/>
    <col min="11" max="11" width="14.77734375" customWidth="1"/>
    <col min="12" max="13" width="14.5546875" customWidth="1"/>
    <col min="14" max="14" width="14.44140625" customWidth="1"/>
  </cols>
  <sheetData>
    <row r="1" spans="1:18" ht="20.25" customHeight="1" x14ac:dyDescent="0.35">
      <c r="A1" s="22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</row>
    <row r="5" spans="1:18" ht="23.25" customHeight="1" thickBot="1" x14ac:dyDescent="0.3">
      <c r="A5" s="7" t="s">
        <v>14</v>
      </c>
      <c r="B5" s="8">
        <v>-412386.48</v>
      </c>
      <c r="C5" s="8">
        <f>B38</f>
        <v>-390448.29764999996</v>
      </c>
      <c r="D5" s="8">
        <f>C38</f>
        <v>-371766.58960999997</v>
      </c>
      <c r="E5" s="8">
        <f t="shared" ref="E5:G5" si="0">D38</f>
        <v>-348308.08670999995</v>
      </c>
      <c r="F5" s="8">
        <f>E38</f>
        <v>-341916.80990999995</v>
      </c>
      <c r="G5" s="8">
        <f t="shared" si="0"/>
        <v>-344329.09510999994</v>
      </c>
      <c r="H5" s="8">
        <f t="shared" ref="H5:H6" si="1">G38</f>
        <v>-329577.94270999997</v>
      </c>
      <c r="I5" s="8">
        <f t="shared" ref="I5:I6" si="2">H38</f>
        <v>-311641.78242999996</v>
      </c>
      <c r="J5" s="8">
        <f t="shared" ref="J5:J6" si="3">I38</f>
        <v>-196787.84506999998</v>
      </c>
      <c r="K5" s="8">
        <f t="shared" ref="K5:K6" si="4">J38</f>
        <v>-196216.51106999998</v>
      </c>
      <c r="L5" s="8">
        <f t="shared" ref="L5:L6" si="5">K38</f>
        <v>-276616.91888999997</v>
      </c>
      <c r="M5" s="8">
        <f t="shared" ref="M5:M6" si="6">L38</f>
        <v>-262145.22341999994</v>
      </c>
      <c r="N5" s="8">
        <f>B5</f>
        <v>-412386.48</v>
      </c>
    </row>
    <row r="6" spans="1:18" ht="21" customHeight="1" thickBot="1" x14ac:dyDescent="0.3">
      <c r="A6" s="7" t="s">
        <v>13</v>
      </c>
      <c r="B6" s="8">
        <v>-218650.97</v>
      </c>
      <c r="C6" s="8">
        <f>B39</f>
        <v>-223545.24</v>
      </c>
      <c r="D6" s="8">
        <f>C39</f>
        <v>-231466.83</v>
      </c>
      <c r="E6" s="8">
        <f t="shared" ref="E6:G6" si="7">D39</f>
        <v>-234197.05</v>
      </c>
      <c r="F6" s="8">
        <f>E39</f>
        <v>-238557.4</v>
      </c>
      <c r="G6" s="8">
        <f t="shared" si="7"/>
        <v>-243519.35</v>
      </c>
      <c r="H6" s="8">
        <f t="shared" si="1"/>
        <v>-249076.22</v>
      </c>
      <c r="I6" s="8">
        <f t="shared" si="2"/>
        <v>-259021.91999999998</v>
      </c>
      <c r="J6" s="8">
        <f t="shared" si="3"/>
        <v>-164203.94</v>
      </c>
      <c r="K6" s="8">
        <f t="shared" si="4"/>
        <v>-168981.46000000002</v>
      </c>
      <c r="L6" s="8">
        <f t="shared" si="5"/>
        <v>-164779.06</v>
      </c>
      <c r="M6" s="8">
        <f t="shared" si="6"/>
        <v>-170698.02999999997</v>
      </c>
      <c r="N6" s="8">
        <f>B6</f>
        <v>-218650.97</v>
      </c>
    </row>
    <row r="7" spans="1:18" ht="20.25" customHeight="1" thickBot="1" x14ac:dyDescent="0.3">
      <c r="A7" s="9" t="s">
        <v>12</v>
      </c>
      <c r="B7" s="10">
        <f>SUM(B8:B13)</f>
        <v>79186.75</v>
      </c>
      <c r="C7" s="10">
        <f t="shared" ref="C7:H7" si="8">SUM(C8:C13)</f>
        <v>78560.22</v>
      </c>
      <c r="D7" s="10">
        <f t="shared" si="8"/>
        <v>78286.899999999994</v>
      </c>
      <c r="E7" s="10">
        <f t="shared" si="8"/>
        <v>78286.899999999994</v>
      </c>
      <c r="F7" s="10">
        <f t="shared" si="8"/>
        <v>78286.899999999994</v>
      </c>
      <c r="G7" s="10">
        <f t="shared" si="8"/>
        <v>78286.899999999994</v>
      </c>
      <c r="H7" s="10">
        <f t="shared" si="8"/>
        <v>83270.239999999991</v>
      </c>
      <c r="I7" s="10">
        <f>SUM(I8:I13)</f>
        <v>80667.08</v>
      </c>
      <c r="J7" s="10">
        <f>SUM(J8:J13)</f>
        <v>80681.2</v>
      </c>
      <c r="K7" s="10">
        <f t="shared" ref="K7:M7" si="9">SUM(K8:K13)</f>
        <v>83806.94</v>
      </c>
      <c r="L7" s="10">
        <f t="shared" si="9"/>
        <v>83436.709999999992</v>
      </c>
      <c r="M7" s="10">
        <f t="shared" si="9"/>
        <v>83219.3</v>
      </c>
      <c r="N7" s="10">
        <f>SUM(B7:M7)</f>
        <v>965976.04</v>
      </c>
    </row>
    <row r="8" spans="1:18" ht="24.75" customHeight="1" thickBot="1" x14ac:dyDescent="0.3">
      <c r="A8" s="4" t="s">
        <v>25</v>
      </c>
      <c r="B8" s="11">
        <f t="shared" ref="B8:G8" si="10">73165.2+1464.7</f>
        <v>74629.899999999994</v>
      </c>
      <c r="C8" s="11">
        <f t="shared" si="10"/>
        <v>74629.899999999994</v>
      </c>
      <c r="D8" s="11">
        <f t="shared" si="10"/>
        <v>74629.899999999994</v>
      </c>
      <c r="E8" s="11">
        <f t="shared" si="10"/>
        <v>74629.899999999994</v>
      </c>
      <c r="F8" s="11">
        <f t="shared" si="10"/>
        <v>74629.899999999994</v>
      </c>
      <c r="G8" s="11">
        <f t="shared" si="10"/>
        <v>74629.899999999994</v>
      </c>
      <c r="H8" s="11">
        <f>1464.7+73165.2</f>
        <v>74629.899999999994</v>
      </c>
      <c r="I8" s="11">
        <f>73165.2+1464.7-14.12</f>
        <v>74615.78</v>
      </c>
      <c r="J8" s="11">
        <f>73165.2+1464.7</f>
        <v>74629.899999999994</v>
      </c>
      <c r="K8" s="11">
        <f>73165.2+1464.7</f>
        <v>74629.899999999994</v>
      </c>
      <c r="L8" s="11">
        <f>73165.2+1464.7</f>
        <v>74629.899999999994</v>
      </c>
      <c r="M8" s="11">
        <f>73165.2+1464.7</f>
        <v>74629.899999999994</v>
      </c>
      <c r="N8" s="11">
        <f>SUM(B8:M8)</f>
        <v>895544.68000000017</v>
      </c>
    </row>
    <row r="9" spans="1:18" ht="24.75" customHeight="1" thickBot="1" x14ac:dyDescent="0.3">
      <c r="A9" s="4" t="s">
        <v>15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2589.04</v>
      </c>
      <c r="I9" s="11">
        <v>0</v>
      </c>
      <c r="J9" s="11">
        <v>0</v>
      </c>
      <c r="K9" s="11">
        <v>0</v>
      </c>
      <c r="L9" s="11">
        <v>2755.51</v>
      </c>
      <c r="M9" s="11">
        <v>2538.1</v>
      </c>
      <c r="N9" s="11">
        <f t="shared" ref="N9:N13" si="11">SUM(B9:M9)</f>
        <v>7882.65</v>
      </c>
    </row>
    <row r="10" spans="1:18" ht="21.75" customHeight="1" thickBot="1" x14ac:dyDescent="0.3">
      <c r="A10" s="4" t="s">
        <v>16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1"/>
        <v>0</v>
      </c>
    </row>
    <row r="11" spans="1:18" ht="22.5" customHeight="1" thickBot="1" x14ac:dyDescent="0.3">
      <c r="A11" s="4" t="s">
        <v>17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3125.74</v>
      </c>
      <c r="L11" s="11">
        <v>0</v>
      </c>
      <c r="M11" s="11">
        <v>0</v>
      </c>
      <c r="N11" s="11">
        <f t="shared" si="11"/>
        <v>3125.74</v>
      </c>
    </row>
    <row r="12" spans="1:18" ht="22.5" customHeight="1" thickBot="1" x14ac:dyDescent="0.3">
      <c r="A12" s="4" t="s">
        <v>23</v>
      </c>
      <c r="B12" s="11">
        <v>899.85</v>
      </c>
      <c r="C12" s="11">
        <v>273.32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f t="shared" si="11"/>
        <v>1173.17</v>
      </c>
    </row>
    <row r="13" spans="1:18" ht="24" customHeight="1" thickBot="1" x14ac:dyDescent="0.3">
      <c r="A13" s="4" t="s">
        <v>40</v>
      </c>
      <c r="B13" s="11">
        <v>3657</v>
      </c>
      <c r="C13" s="11">
        <v>3657</v>
      </c>
      <c r="D13" s="11">
        <v>3657</v>
      </c>
      <c r="E13" s="11">
        <v>3657</v>
      </c>
      <c r="F13" s="11">
        <v>3657</v>
      </c>
      <c r="G13" s="11">
        <v>3657</v>
      </c>
      <c r="H13" s="11">
        <v>6051.3</v>
      </c>
      <c r="I13" s="11">
        <v>6051.3</v>
      </c>
      <c r="J13" s="11">
        <v>6051.3</v>
      </c>
      <c r="K13" s="11">
        <v>6051.3</v>
      </c>
      <c r="L13" s="11">
        <v>6051.3</v>
      </c>
      <c r="M13" s="11">
        <v>6051.3</v>
      </c>
      <c r="N13" s="11">
        <f t="shared" si="11"/>
        <v>58249.80000000001</v>
      </c>
    </row>
    <row r="14" spans="1:18" ht="20.25" customHeight="1" thickBot="1" x14ac:dyDescent="0.3">
      <c r="A14" s="12" t="s">
        <v>8</v>
      </c>
      <c r="B14" s="13">
        <f>SUM(B15:B20)</f>
        <v>74292.479999999996</v>
      </c>
      <c r="C14" s="13">
        <f t="shared" ref="C14:H14" si="12">SUM(C15:C20)</f>
        <v>70638.62999999999</v>
      </c>
      <c r="D14" s="13">
        <f t="shared" si="12"/>
        <v>75556.679999999993</v>
      </c>
      <c r="E14" s="13">
        <f t="shared" si="12"/>
        <v>73926.55</v>
      </c>
      <c r="F14" s="13">
        <f t="shared" si="12"/>
        <v>73324.95</v>
      </c>
      <c r="G14" s="13">
        <f t="shared" si="12"/>
        <v>72730.03</v>
      </c>
      <c r="H14" s="13">
        <f t="shared" si="12"/>
        <v>73324.539999999994</v>
      </c>
      <c r="I14" s="13">
        <f>SUM(I15:I20)</f>
        <v>175485.06</v>
      </c>
      <c r="J14" s="13">
        <f>SUM(J15:J20)</f>
        <v>75903.679999999993</v>
      </c>
      <c r="K14" s="13">
        <f t="shared" ref="K14:M14" si="13">SUM(K15:K20)</f>
        <v>88009.340000000011</v>
      </c>
      <c r="L14" s="13">
        <f t="shared" si="13"/>
        <v>77517.740000000005</v>
      </c>
      <c r="M14" s="13">
        <f t="shared" si="13"/>
        <v>109641.26</v>
      </c>
      <c r="N14" s="13">
        <f>SUM(B14:M14)</f>
        <v>1040350.9399999998</v>
      </c>
    </row>
    <row r="15" spans="1:18" ht="24" customHeight="1" thickBot="1" x14ac:dyDescent="0.3">
      <c r="A15" s="4" t="s">
        <v>26</v>
      </c>
      <c r="B15" s="11">
        <f>68674.2+1607.33</f>
        <v>70281.53</v>
      </c>
      <c r="C15" s="11">
        <f>65220.81+1354.84</f>
        <v>66575.649999999994</v>
      </c>
      <c r="D15" s="11">
        <f>1414.44+70307.98</f>
        <v>71722.42</v>
      </c>
      <c r="E15" s="11">
        <f>69336.72+1297.47</f>
        <v>70634.19</v>
      </c>
      <c r="F15" s="11">
        <f>68532.35+1399.79</f>
        <v>69932.14</v>
      </c>
      <c r="G15" s="11">
        <f>68177.52+1296.23</f>
        <v>69473.75</v>
      </c>
      <c r="H15" s="11">
        <f>1517.13+68302.92</f>
        <v>69820.05</v>
      </c>
      <c r="I15" s="11">
        <f>157955.78+5004.89+382.16</f>
        <v>163342.83000000002</v>
      </c>
      <c r="J15" s="11">
        <f>68738.85+1469.76</f>
        <v>70208.61</v>
      </c>
      <c r="K15" s="11">
        <f>79566.25+1828.99</f>
        <v>81395.240000000005</v>
      </c>
      <c r="L15" s="11">
        <f>68065.25+1316.95</f>
        <v>69382.2</v>
      </c>
      <c r="M15" s="11">
        <f>96440.76+2020.67+171.89+179.64</f>
        <v>98812.959999999992</v>
      </c>
      <c r="N15" s="11">
        <f>SUM(B15:M15)</f>
        <v>971581.57</v>
      </c>
    </row>
    <row r="16" spans="1:18" ht="26.25" customHeight="1" thickBot="1" x14ac:dyDescent="0.3">
      <c r="A16" s="4" t="s">
        <v>15</v>
      </c>
      <c r="B16" s="11">
        <v>0.83</v>
      </c>
      <c r="C16" s="11">
        <v>1.67</v>
      </c>
      <c r="D16" s="11">
        <v>0.68</v>
      </c>
      <c r="E16" s="11">
        <v>0.72</v>
      </c>
      <c r="F16" s="11">
        <v>1.1399999999999999</v>
      </c>
      <c r="G16" s="11">
        <v>1.25</v>
      </c>
      <c r="H16" s="11">
        <v>96.89</v>
      </c>
      <c r="I16" s="11">
        <v>2551.9899999999998</v>
      </c>
      <c r="J16" s="11">
        <v>65.87</v>
      </c>
      <c r="K16" s="11">
        <v>65.819999999999993</v>
      </c>
      <c r="L16" s="11">
        <v>12.46</v>
      </c>
      <c r="M16" s="11">
        <v>2835.74</v>
      </c>
      <c r="N16" s="11">
        <f t="shared" ref="N16:N20" si="14">SUM(B16:M16)</f>
        <v>5635.0599999999995</v>
      </c>
    </row>
    <row r="17" spans="1:15" ht="26.25" customHeight="1" thickBot="1" x14ac:dyDescent="0.3">
      <c r="A17" s="4" t="s">
        <v>16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3.75</v>
      </c>
      <c r="N17" s="11">
        <f t="shared" si="14"/>
        <v>3.75</v>
      </c>
    </row>
    <row r="18" spans="1:15" ht="24" customHeight="1" thickBot="1" x14ac:dyDescent="0.3">
      <c r="A18" s="4" t="s">
        <v>17</v>
      </c>
      <c r="B18" s="11">
        <v>48.53</v>
      </c>
      <c r="C18" s="11">
        <v>8.77</v>
      </c>
      <c r="D18" s="11">
        <v>8.84</v>
      </c>
      <c r="E18" s="11">
        <v>15.64</v>
      </c>
      <c r="F18" s="11">
        <v>5.99</v>
      </c>
      <c r="G18" s="11">
        <v>7.67</v>
      </c>
      <c r="H18" s="11">
        <v>6.86</v>
      </c>
      <c r="I18" s="11">
        <v>1832.68</v>
      </c>
      <c r="J18" s="11">
        <v>6.72</v>
      </c>
      <c r="K18" s="11">
        <v>106.31</v>
      </c>
      <c r="L18" s="11">
        <v>2770.13</v>
      </c>
      <c r="M18" s="11">
        <v>336.96</v>
      </c>
      <c r="N18" s="11">
        <f t="shared" si="14"/>
        <v>5155.1000000000004</v>
      </c>
    </row>
    <row r="19" spans="1:15" ht="24" customHeight="1" thickBot="1" x14ac:dyDescent="0.3">
      <c r="A19" s="4" t="s">
        <v>23</v>
      </c>
      <c r="B19" s="11">
        <v>3.08</v>
      </c>
      <c r="C19" s="11">
        <v>772.54</v>
      </c>
      <c r="D19" s="11">
        <v>282.66000000000003</v>
      </c>
      <c r="E19" s="11">
        <v>34.08</v>
      </c>
      <c r="F19" s="11">
        <v>9.23</v>
      </c>
      <c r="G19" s="11">
        <v>4.8099999999999996</v>
      </c>
      <c r="H19" s="11">
        <v>4.29</v>
      </c>
      <c r="I19" s="11">
        <v>39.56</v>
      </c>
      <c r="J19" s="11">
        <v>4.2300000000000004</v>
      </c>
      <c r="K19" s="11">
        <v>2.97</v>
      </c>
      <c r="L19" s="11">
        <v>3.25</v>
      </c>
      <c r="M19" s="11">
        <v>49.65</v>
      </c>
      <c r="N19" s="11">
        <f t="shared" si="14"/>
        <v>1210.3499999999999</v>
      </c>
    </row>
    <row r="20" spans="1:15" ht="21" customHeight="1" thickBot="1" x14ac:dyDescent="0.3">
      <c r="A20" s="4" t="s">
        <v>40</v>
      </c>
      <c r="B20" s="14">
        <v>3958.51</v>
      </c>
      <c r="C20" s="14">
        <v>3280</v>
      </c>
      <c r="D20" s="14">
        <v>3542.08</v>
      </c>
      <c r="E20" s="14">
        <v>3241.92</v>
      </c>
      <c r="F20" s="14">
        <v>3376.45</v>
      </c>
      <c r="G20" s="14">
        <v>3242.55</v>
      </c>
      <c r="H20" s="14">
        <v>3396.45</v>
      </c>
      <c r="I20" s="14">
        <v>7718</v>
      </c>
      <c r="J20" s="14">
        <v>5618.25</v>
      </c>
      <c r="K20" s="11">
        <v>6439</v>
      </c>
      <c r="L20" s="11">
        <v>5349.7</v>
      </c>
      <c r="M20" s="11">
        <v>7602.2</v>
      </c>
      <c r="N20" s="11">
        <f t="shared" si="14"/>
        <v>56765.109999999993</v>
      </c>
      <c r="O20" s="3"/>
    </row>
    <row r="21" spans="1:15" ht="21.75" customHeight="1" thickBot="1" x14ac:dyDescent="0.3">
      <c r="A21" s="15" t="s">
        <v>22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/>
    </row>
    <row r="22" spans="1:15" ht="21.6" customHeight="1" thickBot="1" x14ac:dyDescent="0.3">
      <c r="A22" s="4" t="s">
        <v>1</v>
      </c>
      <c r="B22" s="11">
        <f t="shared" ref="B22:M22" si="15">3406.2*0.6</f>
        <v>2043.7199999999998</v>
      </c>
      <c r="C22" s="11">
        <f t="shared" si="15"/>
        <v>2043.7199999999998</v>
      </c>
      <c r="D22" s="11">
        <f t="shared" si="15"/>
        <v>2043.7199999999998</v>
      </c>
      <c r="E22" s="11">
        <f t="shared" si="15"/>
        <v>2043.7199999999998</v>
      </c>
      <c r="F22" s="11">
        <f t="shared" si="15"/>
        <v>2043.7199999999998</v>
      </c>
      <c r="G22" s="11">
        <f t="shared" si="15"/>
        <v>2043.7199999999998</v>
      </c>
      <c r="H22" s="11">
        <f t="shared" si="15"/>
        <v>2043.7199999999998</v>
      </c>
      <c r="I22" s="11">
        <f t="shared" si="15"/>
        <v>2043.7199999999998</v>
      </c>
      <c r="J22" s="11">
        <f t="shared" si="15"/>
        <v>2043.7199999999998</v>
      </c>
      <c r="K22" s="11">
        <f t="shared" si="15"/>
        <v>2043.7199999999998</v>
      </c>
      <c r="L22" s="11">
        <f t="shared" si="15"/>
        <v>2043.7199999999998</v>
      </c>
      <c r="M22" s="11">
        <f t="shared" si="15"/>
        <v>2043.7199999999998</v>
      </c>
      <c r="N22" s="11">
        <f>SUM(B22:M22)</f>
        <v>24524.639999999999</v>
      </c>
    </row>
    <row r="23" spans="1:15" ht="22.5" customHeight="1" thickBot="1" x14ac:dyDescent="0.3">
      <c r="A23" s="4" t="s">
        <v>2</v>
      </c>
      <c r="B23" s="11">
        <f t="shared" ref="B23:M23" si="16">3406.2*0.17</f>
        <v>579.05399999999997</v>
      </c>
      <c r="C23" s="11">
        <f t="shared" si="16"/>
        <v>579.05399999999997</v>
      </c>
      <c r="D23" s="11">
        <f t="shared" si="16"/>
        <v>579.05399999999997</v>
      </c>
      <c r="E23" s="11">
        <f t="shared" si="16"/>
        <v>579.05399999999997</v>
      </c>
      <c r="F23" s="11">
        <f t="shared" si="16"/>
        <v>579.05399999999997</v>
      </c>
      <c r="G23" s="11">
        <f t="shared" si="16"/>
        <v>579.05399999999997</v>
      </c>
      <c r="H23" s="11">
        <f t="shared" si="16"/>
        <v>579.05399999999997</v>
      </c>
      <c r="I23" s="11">
        <f t="shared" si="16"/>
        <v>579.05399999999997</v>
      </c>
      <c r="J23" s="11">
        <f t="shared" si="16"/>
        <v>579.05399999999997</v>
      </c>
      <c r="K23" s="11">
        <f t="shared" si="16"/>
        <v>579.05399999999997</v>
      </c>
      <c r="L23" s="11">
        <f t="shared" si="16"/>
        <v>579.05399999999997</v>
      </c>
      <c r="M23" s="11">
        <f t="shared" si="16"/>
        <v>579.05399999999997</v>
      </c>
      <c r="N23" s="11">
        <f t="shared" ref="N23:N35" si="17">SUM(B23:M23)</f>
        <v>6948.6480000000001</v>
      </c>
    </row>
    <row r="24" spans="1:15" ht="22.8" customHeight="1" thickBot="1" x14ac:dyDescent="0.3">
      <c r="A24" s="4" t="s">
        <v>3</v>
      </c>
      <c r="B24" s="11">
        <f>79186.75*2.3%</f>
        <v>1821.2952499999999</v>
      </c>
      <c r="C24" s="11">
        <f>78560.22*2.3%</f>
        <v>1806.8850600000001</v>
      </c>
      <c r="D24" s="11">
        <f>78286.9*2.3%</f>
        <v>1800.5986999999998</v>
      </c>
      <c r="E24" s="11">
        <f>78286.9*2.3%</f>
        <v>1800.5986999999998</v>
      </c>
      <c r="F24" s="11">
        <f>78286.9*2.3%</f>
        <v>1800.5986999999998</v>
      </c>
      <c r="G24" s="11">
        <f>78286.9*2.3%</f>
        <v>1800.5986999999998</v>
      </c>
      <c r="H24" s="11">
        <f>83270.24*2.3%</f>
        <v>1915.2155200000002</v>
      </c>
      <c r="I24" s="11">
        <f>80667.08*2.3%</f>
        <v>1855.34284</v>
      </c>
      <c r="J24" s="11">
        <f>80681.2*2.3%</f>
        <v>1855.6676</v>
      </c>
      <c r="K24" s="11">
        <f>83806.94*2.3%</f>
        <v>1927.55962</v>
      </c>
      <c r="L24" s="11">
        <f>83436.71*2.3%</f>
        <v>1919.0443300000002</v>
      </c>
      <c r="M24" s="11">
        <f>83219.3*2.3%</f>
        <v>1914.0439000000001</v>
      </c>
      <c r="N24" s="11">
        <f t="shared" si="17"/>
        <v>22217.448919999999</v>
      </c>
    </row>
    <row r="25" spans="1:15" ht="23.25" customHeight="1" thickBot="1" x14ac:dyDescent="0.3">
      <c r="A25" s="4" t="s">
        <v>4</v>
      </c>
      <c r="B25" s="11">
        <f>74292.48*3%</f>
        <v>2228.7743999999998</v>
      </c>
      <c r="C25" s="11">
        <f>70638.63*3%</f>
        <v>2119.1588999999999</v>
      </c>
      <c r="D25" s="11">
        <f>75556.68*3%</f>
        <v>2266.7003999999997</v>
      </c>
      <c r="E25" s="11">
        <f>73926.55*3%</f>
        <v>2217.7964999999999</v>
      </c>
      <c r="F25" s="11">
        <f>73324.95*3%</f>
        <v>2199.7484999999997</v>
      </c>
      <c r="G25" s="11">
        <f>72730.03*3%</f>
        <v>2181.9009000000001</v>
      </c>
      <c r="H25" s="11">
        <f>73324.54*3%</f>
        <v>2199.7361999999998</v>
      </c>
      <c r="I25" s="11">
        <f>175485.06*3%</f>
        <v>5264.5518000000002</v>
      </c>
      <c r="J25" s="11">
        <f>75903.68*3%</f>
        <v>2277.1103999999996</v>
      </c>
      <c r="K25" s="11">
        <f>88009.34*3%</f>
        <v>2640.2801999999997</v>
      </c>
      <c r="L25" s="11">
        <f>77517.74*3%</f>
        <v>2325.5322000000001</v>
      </c>
      <c r="M25" s="11">
        <f>109641.26*3%</f>
        <v>3289.2377999999999</v>
      </c>
      <c r="N25" s="11">
        <f t="shared" si="17"/>
        <v>31210.528199999997</v>
      </c>
    </row>
    <row r="26" spans="1:15" ht="23.25" customHeight="1" thickBot="1" x14ac:dyDescent="0.3">
      <c r="A26" s="4" t="s">
        <v>9</v>
      </c>
      <c r="B26" s="21">
        <f t="shared" ref="B26:M26" si="18">3406.2*9.7</f>
        <v>33040.14</v>
      </c>
      <c r="C26" s="21">
        <f t="shared" si="18"/>
        <v>33040.14</v>
      </c>
      <c r="D26" s="21">
        <f t="shared" si="18"/>
        <v>33040.14</v>
      </c>
      <c r="E26" s="21">
        <f t="shared" si="18"/>
        <v>33040.14</v>
      </c>
      <c r="F26" s="21">
        <f t="shared" si="18"/>
        <v>33040.14</v>
      </c>
      <c r="G26" s="21">
        <f t="shared" si="18"/>
        <v>33040.14</v>
      </c>
      <c r="H26" s="21">
        <f t="shared" si="18"/>
        <v>33040.14</v>
      </c>
      <c r="I26" s="21">
        <f t="shared" si="18"/>
        <v>33040.14</v>
      </c>
      <c r="J26" s="21">
        <f t="shared" si="18"/>
        <v>33040.14</v>
      </c>
      <c r="K26" s="21">
        <f t="shared" si="18"/>
        <v>33040.14</v>
      </c>
      <c r="L26" s="21">
        <f t="shared" si="18"/>
        <v>33040.14</v>
      </c>
      <c r="M26" s="21">
        <f t="shared" si="18"/>
        <v>33040.14</v>
      </c>
      <c r="N26" s="11">
        <f t="shared" si="17"/>
        <v>396481.68000000011</v>
      </c>
    </row>
    <row r="27" spans="1:15" ht="21.6" customHeight="1" thickBot="1" x14ac:dyDescent="0.3">
      <c r="A27" s="4" t="s">
        <v>18</v>
      </c>
      <c r="B27" s="11">
        <f>0+0.04</f>
        <v>0.04</v>
      </c>
      <c r="C27" s="11">
        <v>0</v>
      </c>
      <c r="D27" s="11">
        <v>0</v>
      </c>
      <c r="E27" s="11">
        <v>0</v>
      </c>
      <c r="F27" s="11">
        <v>0</v>
      </c>
      <c r="G27" s="11">
        <f>2296.86+292.19</f>
        <v>2589.0500000000002</v>
      </c>
      <c r="H27" s="11">
        <v>0</v>
      </c>
      <c r="I27" s="11">
        <v>0</v>
      </c>
      <c r="J27" s="11">
        <v>0</v>
      </c>
      <c r="K27" s="11">
        <f>2465.49+290.03</f>
        <v>2755.5199999999995</v>
      </c>
      <c r="L27" s="11">
        <f>2270.95+267.14</f>
        <v>2538.0899999999997</v>
      </c>
      <c r="M27" s="11">
        <f>1448.86+170.44</f>
        <v>1619.3</v>
      </c>
      <c r="N27" s="11">
        <f t="shared" si="17"/>
        <v>9501.9999999999982</v>
      </c>
    </row>
    <row r="28" spans="1:15" ht="22.8" customHeight="1" thickBot="1" x14ac:dyDescent="0.3">
      <c r="A28" s="4" t="s">
        <v>19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 t="shared" si="17"/>
        <v>0</v>
      </c>
    </row>
    <row r="29" spans="1:15" ht="26.25" customHeight="1" thickBot="1" x14ac:dyDescent="0.3">
      <c r="A29" s="4" t="s">
        <v>20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3125.69</v>
      </c>
      <c r="K29" s="11">
        <v>0</v>
      </c>
      <c r="L29" s="11">
        <v>0</v>
      </c>
      <c r="M29" s="11">
        <v>3302.37</v>
      </c>
      <c r="N29" s="11">
        <f t="shared" si="17"/>
        <v>6428.0599999999995</v>
      </c>
    </row>
    <row r="30" spans="1:15" ht="21" customHeight="1" thickBot="1" x14ac:dyDescent="0.3">
      <c r="A30" s="4" t="s">
        <v>23</v>
      </c>
      <c r="B30" s="11">
        <v>273.31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7"/>
        <v>273.31</v>
      </c>
    </row>
    <row r="31" spans="1:15" ht="22.5" customHeight="1" thickBot="1" x14ac:dyDescent="0.3">
      <c r="A31" s="4" t="s">
        <v>6</v>
      </c>
      <c r="B31" s="21">
        <f t="shared" ref="B31:M31" si="19">3406.2*3.22</f>
        <v>10967.964</v>
      </c>
      <c r="C31" s="21">
        <f t="shared" si="19"/>
        <v>10967.964</v>
      </c>
      <c r="D31" s="21">
        <f t="shared" si="19"/>
        <v>10967.964</v>
      </c>
      <c r="E31" s="21">
        <f t="shared" si="19"/>
        <v>10967.964</v>
      </c>
      <c r="F31" s="21">
        <f t="shared" si="19"/>
        <v>10967.964</v>
      </c>
      <c r="G31" s="21">
        <f t="shared" si="19"/>
        <v>10967.964</v>
      </c>
      <c r="H31" s="21">
        <f t="shared" si="19"/>
        <v>10967.964</v>
      </c>
      <c r="I31" s="21">
        <f t="shared" si="19"/>
        <v>10967.964</v>
      </c>
      <c r="J31" s="21">
        <f t="shared" si="19"/>
        <v>10967.964</v>
      </c>
      <c r="K31" s="21">
        <f t="shared" si="19"/>
        <v>10967.964</v>
      </c>
      <c r="L31" s="21">
        <f t="shared" si="19"/>
        <v>10967.964</v>
      </c>
      <c r="M31" s="21">
        <f t="shared" si="19"/>
        <v>10967.964</v>
      </c>
      <c r="N31" s="11">
        <f t="shared" si="17"/>
        <v>131615.56800000003</v>
      </c>
    </row>
    <row r="32" spans="1:15" ht="21" customHeight="1" thickBot="1" x14ac:dyDescent="0.3">
      <c r="A32" s="4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7992.76</v>
      </c>
      <c r="G32" s="11">
        <v>1924.51</v>
      </c>
      <c r="H32" s="11">
        <v>1848.78</v>
      </c>
      <c r="I32" s="11">
        <v>1935.51</v>
      </c>
      <c r="J32" s="11">
        <v>4399.6000000000004</v>
      </c>
      <c r="K32" s="11">
        <v>3201.77</v>
      </c>
      <c r="L32" s="11">
        <v>3670.3</v>
      </c>
      <c r="M32" s="11">
        <v>3049.79</v>
      </c>
      <c r="N32" s="11">
        <f t="shared" si="17"/>
        <v>28023.020000000004</v>
      </c>
    </row>
    <row r="33" spans="1:14" ht="21" customHeight="1" thickBot="1" x14ac:dyDescent="0.3">
      <c r="A33" s="4" t="s">
        <v>41</v>
      </c>
      <c r="B33" s="11">
        <v>0</v>
      </c>
      <c r="C33" s="11">
        <v>0</v>
      </c>
      <c r="D33" s="11">
        <v>0</v>
      </c>
      <c r="E33" s="11">
        <v>0</v>
      </c>
      <c r="F33" s="11">
        <f>1823+4206.75</f>
        <v>6029.75</v>
      </c>
      <c r="G33" s="11">
        <f>439+1012.94</f>
        <v>1451.94</v>
      </c>
      <c r="H33" s="11">
        <f>421+972.77</f>
        <v>1393.77</v>
      </c>
      <c r="I33" s="11">
        <f>442+1018.94</f>
        <v>1460.94</v>
      </c>
      <c r="J33" s="11">
        <f>1003+2315.4</f>
        <v>3318.4</v>
      </c>
      <c r="K33" s="11">
        <f>731+1685.48</f>
        <v>2416.48</v>
      </c>
      <c r="L33" s="11">
        <f>837+1931.7</f>
        <v>2768.7</v>
      </c>
      <c r="M33" s="11">
        <f>695+1604.91</f>
        <v>2299.91</v>
      </c>
      <c r="N33" s="11">
        <f t="shared" si="17"/>
        <v>21139.89</v>
      </c>
    </row>
    <row r="34" spans="1:14" ht="22.2" customHeight="1" thickBot="1" x14ac:dyDescent="0.3">
      <c r="A34" s="4" t="s">
        <v>24</v>
      </c>
      <c r="B34" s="11">
        <f>900+500</f>
        <v>1400</v>
      </c>
      <c r="C34" s="11">
        <f t="shared" ref="C34:G34" si="20">900+500</f>
        <v>1400</v>
      </c>
      <c r="D34" s="11">
        <f t="shared" si="20"/>
        <v>1400</v>
      </c>
      <c r="E34" s="11">
        <f t="shared" si="20"/>
        <v>1400</v>
      </c>
      <c r="F34" s="11">
        <f t="shared" si="20"/>
        <v>1400</v>
      </c>
      <c r="G34" s="11">
        <f t="shared" si="20"/>
        <v>1400</v>
      </c>
      <c r="H34" s="11">
        <f t="shared" ref="H34:M34" si="21">900+500</f>
        <v>1400</v>
      </c>
      <c r="I34" s="11">
        <f t="shared" si="21"/>
        <v>1400</v>
      </c>
      <c r="J34" s="11">
        <f t="shared" si="21"/>
        <v>1400</v>
      </c>
      <c r="K34" s="11">
        <f t="shared" si="21"/>
        <v>1400</v>
      </c>
      <c r="L34" s="11">
        <f t="shared" si="21"/>
        <v>1400</v>
      </c>
      <c r="M34" s="11">
        <f t="shared" si="21"/>
        <v>1400</v>
      </c>
      <c r="N34" s="11">
        <f t="shared" si="17"/>
        <v>16800</v>
      </c>
    </row>
    <row r="35" spans="1:14" ht="21" customHeight="1" thickBot="1" x14ac:dyDescent="0.3">
      <c r="A35" s="4" t="s">
        <v>10</v>
      </c>
      <c r="B35" s="11">
        <v>0</v>
      </c>
      <c r="C35" s="11">
        <v>0</v>
      </c>
      <c r="D35" s="11">
        <v>0</v>
      </c>
      <c r="E35" s="11">
        <f>8098.5+6523.9+863.6</f>
        <v>15486</v>
      </c>
      <c r="F35" s="11">
        <f>9683.5</f>
        <v>9683.5</v>
      </c>
      <c r="G35" s="11">
        <v>0</v>
      </c>
      <c r="H35" s="11">
        <v>0</v>
      </c>
      <c r="I35" s="11">
        <f>2083.9</f>
        <v>2083.9</v>
      </c>
      <c r="J35" s="11">
        <f>12325</f>
        <v>12325</v>
      </c>
      <c r="K35" s="11">
        <f>107437.26</f>
        <v>107437.26</v>
      </c>
      <c r="L35" s="11">
        <f>1793.5</f>
        <v>1793.5</v>
      </c>
      <c r="M35" s="11">
        <v>0</v>
      </c>
      <c r="N35" s="11">
        <f t="shared" si="17"/>
        <v>148809.16</v>
      </c>
    </row>
    <row r="36" spans="1:14" ht="22.5" customHeight="1" thickBot="1" x14ac:dyDescent="0.3">
      <c r="A36" s="9" t="s">
        <v>21</v>
      </c>
      <c r="B36" s="10">
        <f t="shared" ref="B36:M36" si="22">SUM(B22:B35)</f>
        <v>52354.297649999993</v>
      </c>
      <c r="C36" s="10">
        <f t="shared" si="22"/>
        <v>51956.92196</v>
      </c>
      <c r="D36" s="10">
        <f t="shared" si="22"/>
        <v>52098.177100000001</v>
      </c>
      <c r="E36" s="10">
        <f t="shared" si="22"/>
        <v>67535.273199999996</v>
      </c>
      <c r="F36" s="10">
        <f t="shared" si="22"/>
        <v>75737.235199999996</v>
      </c>
      <c r="G36" s="10">
        <f t="shared" si="22"/>
        <v>57978.877600000007</v>
      </c>
      <c r="H36" s="10">
        <f t="shared" si="22"/>
        <v>55388.379719999997</v>
      </c>
      <c r="I36" s="10">
        <f t="shared" si="22"/>
        <v>60631.122640000009</v>
      </c>
      <c r="J36" s="10">
        <f t="shared" si="22"/>
        <v>75332.34599999999</v>
      </c>
      <c r="K36" s="10">
        <f t="shared" si="22"/>
        <v>168409.74781999999</v>
      </c>
      <c r="L36" s="10">
        <f t="shared" si="22"/>
        <v>63046.044529999992</v>
      </c>
      <c r="M36" s="10">
        <f t="shared" si="22"/>
        <v>63505.529699999999</v>
      </c>
      <c r="N36" s="10">
        <f>SUM(B36:M36)</f>
        <v>843973.95311999996</v>
      </c>
    </row>
    <row r="37" spans="1:14" ht="23.25" customHeight="1" thickBot="1" x14ac:dyDescent="0.3">
      <c r="A37" s="4" t="s">
        <v>5</v>
      </c>
      <c r="B37" s="18">
        <f t="shared" ref="B37:N37" si="23">B14-B36</f>
        <v>21938.182350000003</v>
      </c>
      <c r="C37" s="18">
        <f t="shared" si="23"/>
        <v>18681.70803999999</v>
      </c>
      <c r="D37" s="18">
        <f t="shared" si="23"/>
        <v>23458.502899999992</v>
      </c>
      <c r="E37" s="18">
        <f t="shared" si="23"/>
        <v>6391.2768000000069</v>
      </c>
      <c r="F37" s="18">
        <f t="shared" si="23"/>
        <v>-2412.2851999999984</v>
      </c>
      <c r="G37" s="18">
        <f t="shared" si="23"/>
        <v>14751.152399999992</v>
      </c>
      <c r="H37" s="18">
        <f t="shared" si="23"/>
        <v>17936.160279999996</v>
      </c>
      <c r="I37" s="18">
        <f t="shared" si="23"/>
        <v>114853.93735999998</v>
      </c>
      <c r="J37" s="18">
        <f t="shared" si="23"/>
        <v>571.33400000000256</v>
      </c>
      <c r="K37" s="18">
        <f t="shared" si="23"/>
        <v>-80400.407819999979</v>
      </c>
      <c r="L37" s="18">
        <f t="shared" si="23"/>
        <v>14471.695470000013</v>
      </c>
      <c r="M37" s="18">
        <f t="shared" si="23"/>
        <v>46135.730299999996</v>
      </c>
      <c r="N37" s="18">
        <f t="shared" si="23"/>
        <v>196376.98687999987</v>
      </c>
    </row>
    <row r="38" spans="1:14" ht="23.25" customHeight="1" thickBot="1" x14ac:dyDescent="0.3">
      <c r="A38" s="4" t="s">
        <v>7</v>
      </c>
      <c r="B38" s="19">
        <f t="shared" ref="B38:N38" si="24">B5+B37</f>
        <v>-390448.29764999996</v>
      </c>
      <c r="C38" s="19">
        <f t="shared" si="24"/>
        <v>-371766.58960999997</v>
      </c>
      <c r="D38" s="19">
        <f t="shared" si="24"/>
        <v>-348308.08670999995</v>
      </c>
      <c r="E38" s="19">
        <f t="shared" si="24"/>
        <v>-341916.80990999995</v>
      </c>
      <c r="F38" s="19">
        <f t="shared" si="24"/>
        <v>-344329.09510999994</v>
      </c>
      <c r="G38" s="19">
        <f t="shared" si="24"/>
        <v>-329577.94270999997</v>
      </c>
      <c r="H38" s="19">
        <f t="shared" si="24"/>
        <v>-311641.78242999996</v>
      </c>
      <c r="I38" s="19">
        <f t="shared" si="24"/>
        <v>-196787.84506999998</v>
      </c>
      <c r="J38" s="19">
        <f t="shared" si="24"/>
        <v>-196216.51106999998</v>
      </c>
      <c r="K38" s="19">
        <f t="shared" si="24"/>
        <v>-276616.91888999997</v>
      </c>
      <c r="L38" s="19">
        <f t="shared" si="24"/>
        <v>-262145.22341999994</v>
      </c>
      <c r="M38" s="19">
        <f t="shared" si="24"/>
        <v>-216009.49311999994</v>
      </c>
      <c r="N38" s="19">
        <f t="shared" si="24"/>
        <v>-216009.49312000012</v>
      </c>
    </row>
    <row r="39" spans="1:14" ht="27" customHeight="1" thickBot="1" x14ac:dyDescent="0.3">
      <c r="A39" s="15" t="s">
        <v>11</v>
      </c>
      <c r="B39" s="20">
        <f>B6+B14-B7</f>
        <v>-223545.24</v>
      </c>
      <c r="C39" s="20">
        <f t="shared" ref="C39:N39" si="25">C6+C14-C7</f>
        <v>-231466.83</v>
      </c>
      <c r="D39" s="20">
        <f t="shared" si="25"/>
        <v>-234197.05</v>
      </c>
      <c r="E39" s="20">
        <f>E6+E14-E7</f>
        <v>-238557.4</v>
      </c>
      <c r="F39" s="20">
        <f t="shared" si="25"/>
        <v>-243519.35</v>
      </c>
      <c r="G39" s="20">
        <f t="shared" si="25"/>
        <v>-249076.22</v>
      </c>
      <c r="H39" s="20">
        <f t="shared" si="25"/>
        <v>-259021.91999999998</v>
      </c>
      <c r="I39" s="20">
        <f t="shared" si="25"/>
        <v>-164203.94</v>
      </c>
      <c r="J39" s="20">
        <f t="shared" si="25"/>
        <v>-168981.46000000002</v>
      </c>
      <c r="K39" s="20">
        <f t="shared" si="25"/>
        <v>-164779.06</v>
      </c>
      <c r="L39" s="20">
        <f t="shared" si="25"/>
        <v>-170698.02999999997</v>
      </c>
      <c r="M39" s="20">
        <f t="shared" si="25"/>
        <v>-144276.06999999998</v>
      </c>
      <c r="N39" s="20">
        <f t="shared" si="25"/>
        <v>-144276.07000000018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2025-03-03T07:03:24Z</cp:lastPrinted>
  <dcterms:created xsi:type="dcterms:W3CDTF">2011-06-06T03:25:48Z</dcterms:created>
  <dcterms:modified xsi:type="dcterms:W3CDTF">2025-03-03T07:13:30Z</dcterms:modified>
</cp:coreProperties>
</file>